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5EjOGBzkEpmPoWP0unQ5Dv9RQ8t3bmV6qFB9kRsGY2RpEY76dpkPjp8R3iK/G84B3MG3xKoBxh+18GhtJGns8Q==" workbookSaltValue="2POz97yq1zdASbr+cbHp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X12" i="17" s="1"/>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V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EQ19" i="8"/>
  <c r="AP12" i="11"/>
  <c r="Y11" i="11"/>
  <c r="AT18" i="17"/>
  <c r="N10" i="11"/>
  <c r="N9" i="11"/>
  <c r="T10" i="21"/>
  <c r="D11" i="2"/>
  <c r="N11" i="11"/>
  <c r="ES19" i="8"/>
  <c r="S19" i="13"/>
  <c r="AG19" i="19"/>
  <c r="F9" i="11"/>
  <c r="CI19" i="8"/>
  <c r="AE19" i="8"/>
  <c r="F17" i="16"/>
  <c r="BL17" i="16" s="1"/>
  <c r="EP19" i="8"/>
  <c r="ER19" i="13"/>
  <c r="AL13" i="16"/>
  <c r="S13" i="16"/>
  <c r="H18" i="16"/>
  <c r="P13" i="16"/>
  <c r="AN13" i="20"/>
  <c r="Z13" i="17"/>
  <c r="T13" i="12"/>
  <c r="BJ15" i="11"/>
  <c r="R17" i="20"/>
  <c r="R18" i="20" s="1"/>
  <c r="AZ15" i="11"/>
  <c r="AZ18" i="11" s="1"/>
  <c r="BV12" i="16"/>
  <c r="U10" i="17"/>
  <c r="AA16" i="16"/>
  <c r="T16" i="11"/>
  <c r="BI9" i="11"/>
  <c r="BH11" i="11"/>
  <c r="BH12" i="16"/>
  <c r="S19" i="8"/>
  <c r="AY18" i="8"/>
  <c r="AY13" i="8"/>
  <c r="BE9" i="8"/>
  <c r="AV18" i="17"/>
  <c r="J18" i="17"/>
  <c r="T13" i="16"/>
  <c r="AP13" i="16"/>
  <c r="BG15" i="13"/>
  <c r="BF16" i="13"/>
  <c r="J20" i="20"/>
  <c r="AL20" i="20"/>
  <c r="AN20" i="20"/>
  <c r="AK20" i="20"/>
  <c r="AM20" i="20"/>
  <c r="AJ20" i="20"/>
  <c r="F20" i="20"/>
  <c r="G18" i="14"/>
  <c r="AC20" i="20"/>
  <c r="AP20" i="20"/>
  <c r="AF20" i="20"/>
  <c r="S20" i="20"/>
  <c r="AQ20" i="21"/>
  <c r="K20" i="20"/>
  <c r="AE20" i="20"/>
  <c r="E20" i="20"/>
  <c r="U16" i="11"/>
  <c r="AQ20" i="20"/>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P20" i="20"/>
  <c r="L20" i="20"/>
  <c r="AB20" i="20"/>
  <c r="U10" i="11"/>
  <c r="F17" i="17" l="1"/>
  <c r="AQ17" i="17" s="1"/>
  <c r="AJ19" i="8"/>
  <c r="E18" i="12"/>
  <c r="T19" i="8"/>
  <c r="AW18" i="21"/>
  <c r="BD12" i="8"/>
  <c r="AB19" i="8"/>
  <c r="Z19" i="8"/>
  <c r="AC10" i="11"/>
  <c r="H13" i="12"/>
  <c r="BG10" i="8"/>
  <c r="AL10" i="11"/>
  <c r="C19" i="3"/>
  <c r="AO16" i="11"/>
  <c r="B12" i="6"/>
  <c r="AO12" i="11"/>
  <c r="H15" i="2"/>
  <c r="H12" i="7"/>
  <c r="AO9" i="11"/>
  <c r="C11" i="6"/>
  <c r="L12" i="14"/>
  <c r="B17" i="6"/>
  <c r="B16" i="6"/>
  <c r="C17" i="6"/>
  <c r="I17" i="12" s="1"/>
  <c r="E11" i="6"/>
  <c r="E9" i="6"/>
  <c r="K9" i="12" s="1"/>
  <c r="F9" i="2"/>
  <c r="H12" i="2"/>
  <c r="M18" i="2"/>
  <c r="M19" i="2" s="1"/>
  <c r="N18" i="2"/>
  <c r="B9" i="6"/>
  <c r="F11" i="11"/>
  <c r="AQ11" i="11" s="1"/>
  <c r="BE16" i="13"/>
  <c r="L12" i="2"/>
  <c r="S17" i="17"/>
  <c r="BJ10" i="11"/>
  <c r="Q17" i="17"/>
  <c r="X15" i="17"/>
  <c r="S11" i="17"/>
  <c r="BV11" i="16"/>
  <c r="BV17" i="16"/>
  <c r="AZ9" i="11"/>
  <c r="AZ13" i="11" s="1"/>
  <c r="AP15" i="20"/>
  <c r="AL11" i="11"/>
  <c r="AC11" i="11"/>
  <c r="C10" i="6"/>
  <c r="I10" i="12" s="1"/>
  <c r="BE15" i="13"/>
  <c r="BA18" i="13"/>
  <c r="BF18" i="13" s="1"/>
  <c r="AO17" i="11"/>
  <c r="E15" i="6"/>
  <c r="BD15" i="8"/>
  <c r="H15" i="7" s="1"/>
  <c r="BE15" i="8"/>
  <c r="I15" i="7" s="1"/>
  <c r="BG16" i="8"/>
  <c r="E18" i="2"/>
  <c r="F18" i="2" s="1"/>
  <c r="AL15" i="11"/>
  <c r="L16" i="14"/>
  <c r="F15" i="11"/>
  <c r="F16" i="17"/>
  <c r="AQ16" i="17" s="1"/>
  <c r="BA13" i="8"/>
  <c r="BF9" i="13"/>
  <c r="D11" i="12"/>
  <c r="D12" i="12"/>
  <c r="BF11" i="8"/>
  <c r="BF9" i="8"/>
  <c r="J9" i="7" s="1"/>
  <c r="BG9" i="8"/>
  <c r="K9" i="7" s="1"/>
  <c r="BD11" i="8"/>
  <c r="BE11" i="8"/>
  <c r="I11" i="7" s="1"/>
  <c r="BG12" i="8"/>
  <c r="K12" i="7" s="1"/>
  <c r="BE12" i="8"/>
  <c r="L11" i="14"/>
  <c r="F12" i="11"/>
  <c r="AQ12" i="11" s="1"/>
  <c r="X12" i="21"/>
  <c r="AP16" i="20"/>
  <c r="BH9" i="16"/>
  <c r="V15" i="11"/>
  <c r="BJ17" i="11"/>
  <c r="BH15" i="11"/>
  <c r="BH15" i="16"/>
  <c r="Q17" i="20"/>
  <c r="Q18" i="20" s="1"/>
  <c r="V11" i="16"/>
  <c r="BF17" i="11"/>
  <c r="BF16" i="11"/>
  <c r="BF18"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8" i="11" s="1"/>
  <c r="BL10" i="11"/>
  <c r="BH10" i="16"/>
  <c r="Q15" i="17"/>
  <c r="BM17" i="11"/>
  <c r="BF15" i="11"/>
  <c r="BH16" i="11"/>
  <c r="AQ12" i="21"/>
  <c r="BJ16" i="11"/>
  <c r="BJ18" i="11" s="1"/>
  <c r="BL16" i="11"/>
  <c r="L10" i="2"/>
  <c r="L15" i="2"/>
  <c r="L16" i="2"/>
  <c r="V9" i="16"/>
  <c r="T9" i="11"/>
  <c r="BF11" i="11"/>
  <c r="BH11" i="16"/>
  <c r="BL9" i="11"/>
  <c r="BH17" i="16"/>
  <c r="BG10" i="11"/>
  <c r="BM16" i="11"/>
  <c r="P17" i="17"/>
  <c r="BL17" i="11"/>
  <c r="BK12" i="11"/>
  <c r="BF10" i="11"/>
  <c r="BK9" i="11"/>
  <c r="R12" i="14"/>
  <c r="V12" i="21"/>
  <c r="AO12" i="17"/>
  <c r="BK11" i="11"/>
  <c r="X9" i="17"/>
  <c r="AP10" i="21"/>
  <c r="BM12" i="11"/>
  <c r="BH9" i="11"/>
  <c r="U9" i="17"/>
  <c r="U19" i="17" s="1"/>
  <c r="BK10" i="11"/>
  <c r="BM9" i="11"/>
  <c r="BG16" i="11"/>
  <c r="BK16" i="11"/>
  <c r="AQ10" i="21"/>
  <c r="BH10" i="11"/>
  <c r="BG12" i="11"/>
  <c r="S11" i="14"/>
  <c r="V11" i="14" s="1"/>
  <c r="AA15" i="16"/>
  <c r="BU12" i="17"/>
  <c r="BW10" i="20"/>
  <c r="BW11" i="20"/>
  <c r="BW12" i="20"/>
  <c r="BU10" i="17"/>
  <c r="BU21" i="17" s="1"/>
  <c r="BU11" i="17"/>
  <c r="AP17" i="20"/>
  <c r="BK17" i="11"/>
  <c r="BG15" i="11"/>
  <c r="BJ12" i="11"/>
  <c r="AO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P15"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AX20" i="21"/>
  <c r="U17" i="11"/>
  <c r="O10" i="11"/>
  <c r="BR20" i="16"/>
  <c r="AU20" i="17"/>
  <c r="BP20" i="16"/>
  <c r="H20" i="17"/>
  <c r="K16" i="12" l="1"/>
  <c r="D19" i="5"/>
  <c r="G19" i="7"/>
  <c r="H13" i="2"/>
  <c r="B18" i="6"/>
  <c r="S18" i="14"/>
  <c r="F18" i="17"/>
  <c r="U13" i="17"/>
  <c r="BE18" i="13"/>
  <c r="K12" i="12"/>
  <c r="X13" i="16"/>
  <c r="AL18" i="11"/>
  <c r="J9" i="12"/>
  <c r="BK18" i="11"/>
  <c r="P16" i="11"/>
  <c r="BK13" i="11"/>
  <c r="Q9" i="11"/>
  <c r="P12" i="11"/>
  <c r="BV13" i="16"/>
  <c r="BW21" i="20"/>
  <c r="T18" i="16"/>
  <c r="T19" i="16" s="1"/>
  <c r="Q15" i="11"/>
  <c r="BH18" i="11"/>
  <c r="C18" i="6"/>
  <c r="G21" i="11"/>
  <c r="AM13" i="11"/>
  <c r="Y13" i="11"/>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<sst xmlns="http://schemas.openxmlformats.org/spreadsheetml/2006/main" count="2102" uniqueCount="918">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</sst>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nA36Rkls1hHnf3Lm7wWxgPk6B+HGVCaYlHcvG13ZPlm+fF++eIUL/hEzANMbQQ38WBZ93BAY4CLYtv+QwngMA==" saltValue="18NtEJSU0UIhvl6nsbBK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14</v>
      </c>
      <c r="F10" s="225">
        <f>IF(ISNUMBER(Datos!K10),Datos!K10," - ")</f>
        <v>12</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87.3125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14</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1851</v>
      </c>
      <c r="D16" s="224">
        <f>IF(ISNUMBER(IF(D_I="SI",Datos!I16,Datos!I16+Datos!AC16)),IF(D_I="SI",Datos!I16,Datos!I16+Datos!AC16)," - ")</f>
        <v>1815</v>
      </c>
      <c r="E16" s="225">
        <f>IF(ISNUMBER(IF(D_I="SI",Datos!J16,Datos!J16+Datos!AD16)),IF(D_I="SI",Datos!J16,Datos!J16+Datos!AD16)," - ")</f>
        <v>927</v>
      </c>
      <c r="F16" s="225">
        <f>IF(ISNUMBER(IF(D_I="SI",Datos!K16,Datos!K16+Datos!AE16)),IF(D_I="SI",Datos!K16,Datos!K16+Datos!AE16)," - ")</f>
        <v>605</v>
      </c>
      <c r="G16" s="1033" t="str">
        <f>IF(Datos!E16&lt;&gt;"",Datos!E16,Datos!D16)</f>
        <v>04</v>
      </c>
      <c r="H16" s="226">
        <f>IF(ISNUMBER(IF(D_I="SI",Datos!L16,Datos!L16+Datos!AF16)),IF(D_I="SI",Datos!L16,Datos!L16+Datos!AF16)," - ")</f>
        <v>2173</v>
      </c>
      <c r="I16" s="1043" t="str">
        <f>IF(ISNUMBER(Datos!AS16/Datos!BM16),Datos!AS16/Datos!BM16," - ")</f>
        <v xml:space="preserve"> - </v>
      </c>
      <c r="J16" s="1044">
        <f>IF(ISNUMBER(Datos!BY16/Datos!CN16),Datos!BY16/Datos!CN16," - ")</f>
        <v>0</v>
      </c>
      <c r="K16" s="229">
        <f t="shared" si="3"/>
        <v>0.17396002160994056</v>
      </c>
      <c r="L16" s="1024">
        <f>IF(ISNUMBER(NºAsuntos!I16/NºAsuntos!G16),(NºAsuntos!I16/NºAsuntos!G16)*11," - ")</f>
        <v>39.509090909090908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61</v>
      </c>
      <c r="D17" s="224">
        <f>IF(ISNUMBER(IF(D_I="SI",Datos!I17,Datos!I17+Datos!AC17)),IF(D_I="SI",Datos!I17,Datos!I17+Datos!AC17)," - ")</f>
        <v>61</v>
      </c>
      <c r="E17" s="225">
        <f>IF(ISNUMBER(IF(D_I="SI",Datos!J17,Datos!J17+Datos!AD17)),IF(D_I="SI",Datos!J17,Datos!J17+Datos!AD17)," - ")</f>
        <v>46</v>
      </c>
      <c r="F17" s="225">
        <f>IF(ISNUMBER(IF(D_I="SI",Datos!K17,Datos!K17+Datos!AE17)),IF(D_I="SI",Datos!K17,Datos!K17+Datos!AE17)," - ")</f>
        <v>52</v>
      </c>
      <c r="G17" s="1033" t="str">
        <f>IF(Datos!E17&lt;&gt;"",Datos!E17,Datos!D17)</f>
        <v>37</v>
      </c>
      <c r="H17" s="226">
        <f>IF(ISNUMBER(IF(D_I="SI",Datos!L17,Datos!L17+Datos!AF17)),IF(D_I="SI",Datos!L17,Datos!L17+Datos!AF17)," - ")</f>
        <v>55</v>
      </c>
      <c r="I17" s="1043" t="str">
        <f>IF(ISNUMBER(Datos!AS17/Datos!BM17),Datos!AS17/Datos!BM17," - ")</f>
        <v xml:space="preserve"> - </v>
      </c>
      <c r="J17" s="1044" t="str">
        <f>IF(ISNUMBER((Datos!BY17+Datos!BZ17)/Datos!CN17),(Datos!BY17+Datos!BZ17)/Datos!CN17," - ")</f>
        <v xml:space="preserve"> - </v>
      </c>
      <c r="K17" s="229">
        <f t="shared" si="3"/>
        <v>-9.8360655737704916E-2</v>
      </c>
      <c r="L17" s="1024">
        <f>IF(ISNUMBER(NºAsuntos!I17/NºAsuntos!G17),(NºAsuntos!I17/NºAsuntos!G17)*11," - ")</f>
        <v>11.634615384615385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1912</v>
      </c>
      <c r="D18" s="1048">
        <f>SUBTOTAL(9,D15:D17)</f>
        <v>1876</v>
      </c>
      <c r="E18" s="1049">
        <f>SUBTOTAL(9,E15:E17)</f>
        <v>973</v>
      </c>
      <c r="F18" s="1049">
        <f>SUBTOTAL(9,F15:F17)</f>
        <v>657</v>
      </c>
      <c r="G18" s="1051" t="str">
        <f ca="1">INDIRECT(CONCATENATE("G",ROW()-1))</f>
        <v>37</v>
      </c>
      <c r="H18" s="1052">
        <f ca="1">SUMIF(G$14:G17,G18,H$14:H17)</f>
        <v>55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1922</v>
      </c>
      <c r="D19" s="1070">
        <f>SUBTOTAL(9,D9:D18)</f>
        <v>1886</v>
      </c>
      <c r="E19" s="1071">
        <f>SUBTOTAL(9,E9:E18)</f>
        <v>987</v>
      </c>
      <c r="F19" s="1071">
        <f>SUBTOTAL(9,F9:F18)</f>
        <v>669</v>
      </c>
      <c r="G19" s="1072"/>
      <c r="H19" s="1073">
        <f ca="1">SUMIF(B9:B18,"TOTAL",H9:H18)</f>
        <v>55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7uUe5nbnop6b8gDBU6CmaPUeIUReAL4npOQJ2ILGyVzDd9OEMYR8ov4gfxHjMeMpayBIzXJgWmS1U6Oh3BpQ==" saltValue="yi3tn1LqNUN3+/or4a56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DmGe+O/s8f8yI6UzIW61fUBf6uBhTadD7weGnGIZiuA4j1JyjqHfNRf+dTAmveHrKbiTUg1gf6gwAn4mMGKmQ==" saltValue="Q3k7ZMWGrdwNWV95F2E2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14</v>
      </c>
      <c r="K10" s="180">
        <v>12</v>
      </c>
      <c r="L10" s="180">
        <v>12</v>
      </c>
      <c r="M10" s="180">
        <v>6</v>
      </c>
      <c r="N10" s="180">
        <v>0</v>
      </c>
      <c r="O10" s="180">
        <v>0</v>
      </c>
      <c r="P10" s="180">
        <v>11</v>
      </c>
      <c r="Q10" s="180">
        <v>18</v>
      </c>
      <c r="R10" s="180">
        <v>48</v>
      </c>
      <c r="S10" s="180">
        <v>27</v>
      </c>
      <c r="T10" s="180">
        <v>14</v>
      </c>
      <c r="U10" s="180">
        <v>15</v>
      </c>
      <c r="V10" s="180">
        <v>26</v>
      </c>
      <c r="W10" s="180">
        <v>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27</v>
      </c>
      <c r="AZ10" s="129">
        <f t="shared" si="0"/>
        <v>14</v>
      </c>
      <c r="BA10" s="129">
        <f t="shared" si="0"/>
        <v>15</v>
      </c>
      <c r="BB10" s="129">
        <f t="shared" si="0"/>
        <v>26</v>
      </c>
      <c r="BC10" s="125">
        <f t="shared" si="0"/>
        <v>3</v>
      </c>
      <c r="BD10" s="126">
        <f>IF(ISNUMBER(BA10/AZ10),BA10/AZ10," - ")</f>
        <v>1.0714285714285714</v>
      </c>
      <c r="BE10" s="127">
        <f>IF(ISNUMBER(BB10/BA10),BB10/BA10, " - ")</f>
        <v>1.7333333333333334</v>
      </c>
      <c r="BF10" s="127">
        <f>IF(ISNUMBER(BC10/BA10),BC10/BA10, " - ")</f>
        <v>0.2</v>
      </c>
      <c r="BG10" s="195">
        <f>IF(ISNUMBER((AY10+AZ10)/BA10),(AY10+AZ10)/BA10," - ")</f>
        <v>2.7333333333333334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4802</v>
      </c>
      <c r="J12" s="182">
        <v>414</v>
      </c>
      <c r="K12" s="182">
        <v>567</v>
      </c>
      <c r="L12" s="182">
        <v>4649</v>
      </c>
      <c r="M12" s="182">
        <v>181</v>
      </c>
      <c r="N12" s="182">
        <v>133</v>
      </c>
      <c r="O12" s="180">
        <v>201</v>
      </c>
      <c r="P12" s="182">
        <v>211</v>
      </c>
      <c r="Q12" s="182">
        <v>36</v>
      </c>
      <c r="R12" s="182">
        <v>3354</v>
      </c>
      <c r="S12" s="182">
        <v>3591</v>
      </c>
      <c r="T12" s="182">
        <v>595</v>
      </c>
      <c r="U12" s="182">
        <v>472</v>
      </c>
      <c r="V12" s="182">
        <v>3714</v>
      </c>
      <c r="W12" s="182">
        <v>101</v>
      </c>
      <c r="X12" s="188">
        <v>126</v>
      </c>
      <c r="Y12" s="190">
        <v>186</v>
      </c>
      <c r="Z12" s="180">
        <v>32</v>
      </c>
      <c r="AA12" s="180">
        <v>41</v>
      </c>
      <c r="AB12" s="180">
        <v>177</v>
      </c>
      <c r="AC12" s="182">
        <v>0</v>
      </c>
      <c r="AD12" s="182">
        <v>0</v>
      </c>
      <c r="AE12" s="182">
        <v>0</v>
      </c>
      <c r="AF12" s="188">
        <v>0</v>
      </c>
      <c r="AG12" s="201">
        <v>171</v>
      </c>
      <c r="AH12" s="182">
        <v>43</v>
      </c>
      <c r="AI12" s="182">
        <v>35</v>
      </c>
      <c r="AJ12" s="202">
        <v>179</v>
      </c>
      <c r="AK12" s="181">
        <v>0</v>
      </c>
      <c r="AL12" s="182">
        <v>0</v>
      </c>
      <c r="AM12" s="182">
        <v>0</v>
      </c>
      <c r="AN12" s="188">
        <v>0</v>
      </c>
      <c r="AO12" s="258">
        <v>3</v>
      </c>
      <c r="AP12" s="154">
        <v>3</v>
      </c>
      <c r="AQ12" s="154">
        <v>3</v>
      </c>
      <c r="AR12" s="153">
        <v>3</v>
      </c>
      <c r="AS12" s="339" t="s">
        <v>794</v>
      </c>
      <c r="AT12" s="202"/>
      <c r="AU12" s="201"/>
      <c r="AV12" s="202"/>
      <c r="AW12" s="201"/>
      <c r="AX12" s="202"/>
      <c r="AY12" s="126">
        <f t="shared" si="1"/>
        <v>3762</v>
      </c>
      <c r="AZ12" s="127">
        <f t="shared" si="1"/>
        <v>638</v>
      </c>
      <c r="BA12" s="127">
        <f t="shared" si="1"/>
        <v>507</v>
      </c>
      <c r="BB12" s="127">
        <f t="shared" si="1"/>
        <v>3893</v>
      </c>
      <c r="BC12" s="125">
        <f>IF(ISNUMBER(X12),X12," - ")</f>
        <v>126</v>
      </c>
      <c r="BD12" s="126">
        <f t="shared" si="2"/>
        <v>0.79467084639498431</v>
      </c>
      <c r="BE12" s="127">
        <f t="shared" si="3"/>
        <v>7.6785009861932938</v>
      </c>
      <c r="BF12" s="127">
        <f t="shared" si="4"/>
        <v>0.24852071005917159</v>
      </c>
      <c r="BG12" s="195">
        <f t="shared" si="5"/>
        <v>8.6785009861932938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4812</v>
      </c>
      <c r="J13" s="183">
        <f t="shared" si="6"/>
        <v>428</v>
      </c>
      <c r="K13" s="183">
        <f t="shared" si="6"/>
        <v>579</v>
      </c>
      <c r="L13" s="183">
        <f t="shared" si="6"/>
        <v>4661</v>
      </c>
      <c r="M13" s="183">
        <f t="shared" si="6"/>
        <v>187</v>
      </c>
      <c r="N13" s="183">
        <f t="shared" si="6"/>
        <v>133</v>
      </c>
      <c r="O13" s="183">
        <f t="shared" si="6"/>
        <v>201</v>
      </c>
      <c r="P13" s="183">
        <f t="shared" si="6"/>
        <v>222</v>
      </c>
      <c r="Q13" s="183">
        <f t="shared" si="6"/>
        <v>54</v>
      </c>
      <c r="R13" s="183">
        <f t="shared" si="6"/>
        <v>3402</v>
      </c>
      <c r="S13" s="183">
        <f t="shared" si="6"/>
        <v>3618</v>
      </c>
      <c r="T13" s="183">
        <f t="shared" si="6"/>
        <v>609</v>
      </c>
      <c r="U13" s="183">
        <f t="shared" si="6"/>
        <v>487</v>
      </c>
      <c r="V13" s="183">
        <f t="shared" si="6"/>
        <v>3740</v>
      </c>
      <c r="W13" s="183">
        <f t="shared" si="6"/>
        <v>104</v>
      </c>
      <c r="X13" s="183">
        <f t="shared" si="6"/>
        <v>128</v>
      </c>
      <c r="Y13" s="183">
        <f t="shared" si="6"/>
        <v>186</v>
      </c>
      <c r="Z13" s="183">
        <f t="shared" si="6"/>
        <v>32</v>
      </c>
      <c r="AA13" s="183">
        <f t="shared" si="6"/>
        <v>41</v>
      </c>
      <c r="AB13" s="183">
        <f t="shared" si="6"/>
        <v>177</v>
      </c>
      <c r="AC13" s="183">
        <f t="shared" si="6"/>
        <v>0</v>
      </c>
      <c r="AD13" s="183">
        <f t="shared" si="6"/>
        <v>0</v>
      </c>
      <c r="AE13" s="183">
        <f t="shared" si="6"/>
        <v>0</v>
      </c>
      <c r="AF13" s="183">
        <f>SUBTOTAL(9,AF9:AF12)</f>
        <v>0</v>
      </c>
      <c r="AG13" s="183">
        <f t="shared" ref="AG13:AT13" si="7">SUBTOTAL(9,AG8:AG12)</f>
        <v>171</v>
      </c>
      <c r="AH13" s="183">
        <f t="shared" si="7"/>
        <v>43</v>
      </c>
      <c r="AI13" s="183">
        <f t="shared" si="7"/>
        <v>35</v>
      </c>
      <c r="AJ13" s="183">
        <f t="shared" si="7"/>
        <v>179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3789</v>
      </c>
      <c r="AZ13" s="183">
        <f>SUBTOTAL(9,AZ8:AZ12)</f>
        <v>652</v>
      </c>
      <c r="BA13" s="183">
        <f>SUBTOTAL(9,BA8:BA12)</f>
        <v>522</v>
      </c>
      <c r="BB13" s="183">
        <f>SUBTOTAL(9,BB8:BB12)</f>
        <v>3919</v>
      </c>
      <c r="BC13" s="183">
        <f>SUBTOTAL(9,BC8:BC12)</f>
        <v>129</v>
      </c>
      <c r="BD13" s="204">
        <f>IF(ISNUMBER(BA13/AZ13),BA13/AZ13," - ")</f>
        <v>0.80061349693251538</v>
      </c>
      <c r="BE13" s="205">
        <f>IF(ISNUMBER(BB13/BA13),BB13/BA13, " - ")</f>
        <v>7.5076628352490422</v>
      </c>
      <c r="BF13" s="205">
        <f>IF(ISNUMBER(BC13/BA13),BC13/BA13, " - ")</f>
        <v>0.2471264367816092</v>
      </c>
      <c r="BG13" s="206">
        <f>IF(ISNUMBER((AY13+AZ13)/BA13),(AY13+AZ13)/BA13," - ")</f>
        <v>8.5076628352490413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1815</v>
      </c>
      <c r="J16" s="182">
        <v>927</v>
      </c>
      <c r="K16" s="182">
        <v>605</v>
      </c>
      <c r="L16" s="182">
        <v>2173</v>
      </c>
      <c r="M16" s="182">
        <v>78</v>
      </c>
      <c r="N16" s="182">
        <v>379</v>
      </c>
      <c r="O16" s="180">
        <v>0</v>
      </c>
      <c r="P16" s="182">
        <v>18</v>
      </c>
      <c r="Q16" s="182">
        <v>8</v>
      </c>
      <c r="R16" s="182">
        <v>134</v>
      </c>
      <c r="S16" s="182">
        <v>1614</v>
      </c>
      <c r="T16" s="182">
        <v>774</v>
      </c>
      <c r="U16" s="182">
        <v>767</v>
      </c>
      <c r="V16" s="182">
        <v>1634</v>
      </c>
      <c r="W16" s="182">
        <v>78</v>
      </c>
      <c r="X16" s="188">
        <v>490</v>
      </c>
      <c r="Y16" s="201">
        <v>0</v>
      </c>
      <c r="Z16" s="182">
        <v>0</v>
      </c>
      <c r="AA16" s="182">
        <v>0</v>
      </c>
      <c r="AB16" s="182">
        <v>0</v>
      </c>
      <c r="AC16" s="182">
        <v>0</v>
      </c>
      <c r="AD16" s="182">
        <v>0</v>
      </c>
      <c r="AE16" s="182">
        <v>0</v>
      </c>
      <c r="AF16" s="188">
        <v>0</v>
      </c>
      <c r="AG16" s="201">
        <v>0</v>
      </c>
      <c r="AH16" s="182">
        <v>0</v>
      </c>
      <c r="AI16" s="182">
        <v>0</v>
      </c>
      <c r="AJ16" s="202">
        <v>0</v>
      </c>
      <c r="AK16" s="181">
        <v>0</v>
      </c>
      <c r="AL16" s="182">
        <v>3</v>
      </c>
      <c r="AM16" s="182">
        <v>3</v>
      </c>
      <c r="AN16" s="188">
        <v>0</v>
      </c>
      <c r="AO16" s="258">
        <v>3</v>
      </c>
      <c r="AP16" s="154">
        <v>3</v>
      </c>
      <c r="AQ16" s="154">
        <v>3</v>
      </c>
      <c r="AR16" s="154">
        <v>3</v>
      </c>
      <c r="AS16" s="339" t="s">
        <v>487</v>
      </c>
      <c r="AT16" s="202"/>
      <c r="AU16" s="201"/>
      <c r="AV16" s="202"/>
      <c r="AW16" s="201"/>
      <c r="AX16" s="202"/>
      <c r="AY16" s="126">
        <f t="shared" si="9"/>
        <v>1614</v>
      </c>
      <c r="AZ16" s="127">
        <f t="shared" si="9"/>
        <v>774</v>
      </c>
      <c r="BA16" s="127">
        <f t="shared" si="9"/>
        <v>767</v>
      </c>
      <c r="BB16" s="127">
        <f t="shared" si="9"/>
        <v>1634</v>
      </c>
      <c r="BC16" s="125">
        <f>IF(ISNUMBER(W16),W16," - ")</f>
        <v>78</v>
      </c>
      <c r="BD16" s="126">
        <f t="shared" ref="BD16" si="11">IF(ISNUMBER(BA16/AZ16),BA16/AZ16," - ")</f>
        <v>0.99095607235142114</v>
      </c>
      <c r="BE16" s="127">
        <f t="shared" ref="BE16" si="12">IF(ISNUMBER(BB16/BA16),BB16/BA16, " - ")</f>
        <v>2.1303780964797916</v>
      </c>
      <c r="BF16" s="127">
        <f t="shared" ref="BF16" si="13">IF(ISNUMBER(BC16/BA16),BC16/BA16, " - ")</f>
        <v>0.10169491525423729</v>
      </c>
      <c r="BG16" s="195">
        <f t="shared" si="10"/>
        <v>3.1134289439374183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61</v>
      </c>
      <c r="J17" s="182">
        <v>46</v>
      </c>
      <c r="K17" s="182">
        <v>52</v>
      </c>
      <c r="L17" s="182">
        <v>55</v>
      </c>
      <c r="M17" s="182">
        <v>20</v>
      </c>
      <c r="N17" s="182">
        <v>34</v>
      </c>
      <c r="O17" s="182">
        <v>0</v>
      </c>
      <c r="P17" s="182">
        <v>8</v>
      </c>
      <c r="Q17" s="182">
        <v>5</v>
      </c>
      <c r="R17" s="182">
        <v>7</v>
      </c>
      <c r="S17" s="182">
        <v>30</v>
      </c>
      <c r="T17" s="182">
        <v>75</v>
      </c>
      <c r="U17" s="182">
        <v>65</v>
      </c>
      <c r="V17" s="182">
        <v>40</v>
      </c>
      <c r="W17" s="182">
        <v>31</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75</v>
      </c>
      <c r="BA17" s="129">
        <f t="shared" si="14"/>
        <v>65</v>
      </c>
      <c r="BB17" s="129">
        <f t="shared" si="14"/>
        <v>40</v>
      </c>
      <c r="BC17" s="125">
        <f>IF(ISNUMBER(W17),W17," - ")</f>
        <v>31</v>
      </c>
      <c r="BD17" s="126">
        <f>IF(ISNUMBER(BA17/AZ17),BA17/AZ17," - ")</f>
        <v>0.8666666666666667</v>
      </c>
      <c r="BE17" s="127">
        <f>IF(ISNUMBER(BB17/BA17),BB17/BA17, " - ")</f>
        <v>0.61538461538461542</v>
      </c>
      <c r="BF17" s="127">
        <f>IF(ISNUMBER(BC17/BA17),BC17/BA17, " - ")</f>
        <v>0.47692307692307695</v>
      </c>
      <c r="BG17" s="195">
        <f>IF(ISNUMBER((AY17+AZ17)/BA17),(AY17+AZ17)/BA17," - ")</f>
        <v>1.6153846153846154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1876</v>
      </c>
      <c r="J18" s="183">
        <f t="shared" si="15"/>
        <v>973</v>
      </c>
      <c r="K18" s="183">
        <f t="shared" si="15"/>
        <v>657</v>
      </c>
      <c r="L18" s="183">
        <f t="shared" si="15"/>
        <v>2228</v>
      </c>
      <c r="M18" s="183">
        <f t="shared" si="15"/>
        <v>98</v>
      </c>
      <c r="N18" s="183">
        <f t="shared" si="15"/>
        <v>413</v>
      </c>
      <c r="O18" s="183">
        <f t="shared" si="15"/>
        <v>0</v>
      </c>
      <c r="P18" s="183">
        <f t="shared" si="15"/>
        <v>26</v>
      </c>
      <c r="Q18" s="183">
        <f t="shared" si="15"/>
        <v>13</v>
      </c>
      <c r="R18" s="183">
        <f t="shared" si="15"/>
        <v>141</v>
      </c>
      <c r="S18" s="183">
        <f t="shared" si="15"/>
        <v>1644</v>
      </c>
      <c r="T18" s="183">
        <f t="shared" si="15"/>
        <v>849</v>
      </c>
      <c r="U18" s="183">
        <f t="shared" si="15"/>
        <v>832</v>
      </c>
      <c r="V18" s="183">
        <f t="shared" si="15"/>
        <v>1674</v>
      </c>
      <c r="W18" s="183">
        <f t="shared" si="15"/>
        <v>109</v>
      </c>
      <c r="X18" s="183">
        <f t="shared" si="15"/>
        <v>522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1644</v>
      </c>
      <c r="AZ18" s="183">
        <f>SUBTOTAL(9,AZ14:AZ17)</f>
        <v>849</v>
      </c>
      <c r="BA18" s="183">
        <f>SUBTOTAL(9,BA14:BA17)</f>
        <v>832</v>
      </c>
      <c r="BB18" s="183">
        <f>SUBTOTAL(9,BB14:BB17)</f>
        <v>1674</v>
      </c>
      <c r="BC18" s="183">
        <f>SUBTOTAL(9,BC14:BC17)</f>
        <v>109</v>
      </c>
      <c r="BD18" s="204">
        <f>IF(ISNUMBER(BA18/AZ18),BA18/AZ18," - ")</f>
        <v>0.97997644287396934</v>
      </c>
      <c r="BE18" s="205">
        <f>IF(ISNUMBER(BB18/BA18),BB18/BA18, " - ")</f>
        <v>2.0120192307692308</v>
      </c>
      <c r="BF18" s="205">
        <f>IF(ISNUMBER(BC18/BA18),BC18/BA18, " - ")</f>
        <v>0.13100961538461539</v>
      </c>
      <c r="BG18" s="206">
        <f>IF(ISNUMBER((AY18+AZ18)/BA18),(AY18+AZ18)/BA18," - ")</f>
        <v>2.9963942307692308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6688</v>
      </c>
      <c r="J19" s="134">
        <f t="shared" si="18"/>
        <v>1401</v>
      </c>
      <c r="K19" s="134">
        <f t="shared" si="18"/>
        <v>1236</v>
      </c>
      <c r="L19" s="134">
        <f t="shared" si="18"/>
        <v>6889</v>
      </c>
      <c r="M19" s="134">
        <f t="shared" si="18"/>
        <v>285</v>
      </c>
      <c r="N19" s="134">
        <f t="shared" si="18"/>
        <v>546</v>
      </c>
      <c r="O19" s="134">
        <f t="shared" si="18"/>
        <v>201</v>
      </c>
      <c r="P19" s="134">
        <f t="shared" si="18"/>
        <v>248</v>
      </c>
      <c r="Q19" s="134">
        <f t="shared" si="18"/>
        <v>67</v>
      </c>
      <c r="R19" s="134">
        <f t="shared" si="18"/>
        <v>3543</v>
      </c>
      <c r="S19" s="134">
        <f t="shared" si="18"/>
        <v>5262</v>
      </c>
      <c r="T19" s="134">
        <f t="shared" si="18"/>
        <v>1458</v>
      </c>
      <c r="U19" s="134">
        <f t="shared" si="18"/>
        <v>1319</v>
      </c>
      <c r="V19" s="134">
        <f t="shared" si="18"/>
        <v>5414</v>
      </c>
      <c r="W19" s="134">
        <f t="shared" si="18"/>
        <v>213</v>
      </c>
      <c r="X19" s="134">
        <f t="shared" si="18"/>
        <v>650</v>
      </c>
      <c r="Y19" s="134">
        <f t="shared" si="18"/>
        <v>186</v>
      </c>
      <c r="Z19" s="134">
        <f t="shared" si="18"/>
        <v>32</v>
      </c>
      <c r="AA19" s="134">
        <f t="shared" si="18"/>
        <v>41</v>
      </c>
      <c r="AB19" s="134">
        <f t="shared" si="18"/>
        <v>177</v>
      </c>
      <c r="AC19" s="134">
        <f t="shared" si="18"/>
        <v>0</v>
      </c>
      <c r="AD19" s="134">
        <f t="shared" si="18"/>
        <v>0</v>
      </c>
      <c r="AE19" s="134">
        <f t="shared" si="18"/>
        <v>0</v>
      </c>
      <c r="AF19" s="134">
        <f t="shared" si="18"/>
        <v>0</v>
      </c>
      <c r="AG19" s="134">
        <f t="shared" si="18"/>
        <v>171</v>
      </c>
      <c r="AH19" s="134">
        <f t="shared" si="18"/>
        <v>43</v>
      </c>
      <c r="AI19" s="134">
        <f t="shared" si="18"/>
        <v>35</v>
      </c>
      <c r="AJ19" s="134">
        <f t="shared" si="18"/>
        <v>179</v>
      </c>
      <c r="AK19" s="134">
        <f t="shared" si="18"/>
        <v>0</v>
      </c>
      <c r="AL19" s="134">
        <f t="shared" si="18"/>
        <v>3</v>
      </c>
      <c r="AM19" s="134">
        <f t="shared" si="18"/>
        <v>3</v>
      </c>
      <c r="AN19" s="209">
        <f t="shared" si="18"/>
        <v>0</v>
      </c>
      <c r="AO19" s="210">
        <v>4</v>
      </c>
      <c r="AP19" s="210">
        <v>3</v>
      </c>
      <c r="AQ19" s="210">
        <v>3</v>
      </c>
      <c r="AR19" s="210">
        <v>3</v>
      </c>
      <c r="AS19" s="152">
        <f t="shared" si="18"/>
        <v>0</v>
      </c>
      <c r="AT19" s="152">
        <f t="shared" si="18"/>
        <v>0</v>
      </c>
      <c r="AU19" s="210"/>
      <c r="AV19" s="211"/>
      <c r="AW19" s="210"/>
      <c r="AX19" s="211"/>
      <c r="AY19" s="133">
        <f>SUBTOTAL(9,AY9:AY18)</f>
        <v>5433</v>
      </c>
      <c r="AZ19" s="134">
        <f>SUBTOTAL(9,AZ9:AZ18)</f>
        <v>1501</v>
      </c>
      <c r="BA19" s="134">
        <f>SUBTOTAL(9,BA9:BA18)</f>
        <v>1354</v>
      </c>
      <c r="BB19" s="134">
        <f>SUBTOTAL(9,BB9:BB18)</f>
        <v>5593</v>
      </c>
      <c r="BC19" s="135">
        <f>SUBTOTAL(9,BC9:BC18)</f>
        <v>238</v>
      </c>
      <c r="BD19" s="212">
        <f>IF(ISNUMBER(BA19/AZ19),BA19/AZ19," - ")</f>
        <v>0.90206528980679546</v>
      </c>
      <c r="BE19" s="209">
        <f>IF(ISNUMBER(BB19/BA19),BB19/BA19, " - ")</f>
        <v>4.130723781388479</v>
      </c>
      <c r="BF19" s="209">
        <f>IF(ISNUMBER(BC19/BA19),BC19/BA19, " - ")</f>
        <v>0.17577548005908419</v>
      </c>
      <c r="BG19" s="135">
        <f>IF(ISNUMBER((AY19+AZ19)/BA19),(AY19+AZ19)/BA19," - ")</f>
        <v>5.1211225997045791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nkIdlOV3RSmikY1779DSGJ4ahIP3OUG6YkpbaN6aKbzZY8+ra/erG068fS/hrWEoHBHInIu3MTNTzE9/YSDmw==" saltValue="d8Gbq5HgkFBMouLGbNb7e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ixUe2/hgmqq/8A5EjYL9iHB+gBJLPV9tjkK0ZWx5TaQmVUZnRBMGvW3ozhXEX7fbr90XXjPPLVUFcBmS+rWiQ==" saltValue="iWb6XoUn5v/EEJS+U0Msp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POSADAS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18</v>
      </c>
      <c r="AD10" s="333"/>
      <c r="AE10" s="483"/>
      <c r="AF10" s="331">
        <f>IF(ISNUMBER(Datos!L10),Datos!L10,"-")</f>
        <v>12</v>
      </c>
      <c r="AG10" s="333"/>
      <c r="AH10" s="333"/>
      <c r="AI10" s="333"/>
      <c r="AJ10" s="333"/>
      <c r="AK10" s="333"/>
      <c r="AL10" s="478"/>
      <c r="AM10" s="334">
        <f>IF(ISNUMBER(Datos!R10),Datos!R10," - ")</f>
        <v>48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f>IF(ISNUMBER(Datos!K10/Datos!J10),Datos!K10/Datos!J10," - ")</f>
        <v>0.8571428571428571</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-0.12727272727272726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211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177</v>
      </c>
      <c r="AI12" s="333" t="str">
        <f>IF(ISNUMBER(Datos!CD12),Datos!CD12,"-")</f>
        <v>-</v>
      </c>
      <c r="AJ12" s="333" t="str">
        <f>IF(ISNUMBER(Datos!EN12),Datos!EN12," - ")</f>
        <v xml:space="preserve"> - </v>
      </c>
      <c r="AK12" s="333"/>
      <c r="AL12" s="478"/>
      <c r="AM12" s="334">
        <f>IF(ISNUMBER(Datos!R12),Datos!R12," - ")</f>
        <v>3354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181</v>
      </c>
      <c r="BD12" s="228">
        <f>IF(ISNUMBER(Datos!N12),Datos!N12," - ")</f>
        <v>133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1.3632286995515694</v>
      </c>
      <c r="BH12" s="259">
        <f>IF(ISNUMBER(((IF(J_V="SI",Datos!L12/Datos!K12,(Datos!L12+Datos!AB12)/(Datos!K12+Datos!AA12)))*11)/factor_trimestre),((IF(J_V="SI",Datos!L12/Datos!K12,(Datos!L12+Datos!AB12)/(Datos!K12+Datos!AA12)))*11)/factor_trimestre," - ")</f>
        <v>15.875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5.50487574709028E-2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222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54</v>
      </c>
      <c r="AD13" s="898">
        <f t="shared" si="1"/>
        <v>0</v>
      </c>
      <c r="AE13" s="898">
        <f t="shared" si="1"/>
        <v>0</v>
      </c>
      <c r="AF13" s="898">
        <f t="shared" si="1"/>
        <v>12</v>
      </c>
      <c r="AG13" s="898">
        <f t="shared" si="1"/>
        <v>0</v>
      </c>
      <c r="AH13" s="898">
        <f t="shared" si="1"/>
        <v>177</v>
      </c>
      <c r="AI13" s="898">
        <f t="shared" si="1"/>
        <v>0</v>
      </c>
      <c r="AJ13" s="898">
        <f t="shared" si="1"/>
        <v>0</v>
      </c>
      <c r="AK13" s="898">
        <f t="shared" si="1"/>
        <v>0</v>
      </c>
      <c r="AL13" s="898">
        <f t="shared" si="1"/>
        <v>0</v>
      </c>
      <c r="AM13" s="898">
        <f t="shared" si="1"/>
        <v>3402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187</v>
      </c>
      <c r="BD13" s="898">
        <f t="shared" si="1"/>
        <v>133</v>
      </c>
      <c r="BE13" s="898">
        <f t="shared" si="1"/>
        <v>0</v>
      </c>
      <c r="BF13" s="898">
        <f t="shared" si="1"/>
        <v>0</v>
      </c>
      <c r="BG13" s="898">
        <f>IF(ISNUMBER(Datos!K13/Datos!J13),Datos!K13/Datos!J13," - ")</f>
        <v>1.3528037383177569</v>
      </c>
      <c r="BH13" s="902">
        <f>IF(ISNUMBER(((Datos!L13/Datos!K13)*11)/factor_trimestre),((Datos!L13/Datos!K13)*11)/factor_trimestre," - ")</f>
        <v>16.100172711571677</v>
      </c>
      <c r="BI13" s="898">
        <f>IF(ISNUMBER('Resol  Asuntos'!D13/NºAsuntos!G13),'Resol  Asuntos'!D13/NºAsuntos!G13," - ")</f>
        <v>0.30161290322580647</v>
      </c>
      <c r="BJ13" s="898" t="str">
        <f>IF(ISNUMBER(Datos!CI13/Datos!CJ13),Datos!CI13/Datos!CJ13," - ")</f>
        <v xml:space="preserve"> - </v>
      </c>
      <c r="BK13" s="898">
        <f>SUBTOTAL(9,BK8:BK12)</f>
        <v>0</v>
      </c>
      <c r="BL13" s="898">
        <f>IF(ISNUMBER((I13-AB13+L13)/(F13)),(I13-AB13+L13)/(F13)," - ")</f>
        <v>-1.2</v>
      </c>
      <c r="BM13" s="903">
        <f>SUBTOTAL(9,BM9:BM12)</f>
        <v>-7.2223969801824467E-2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1851</v>
      </c>
      <c r="G16" s="597">
        <f>IF(ISNUMBER(IF(D_I="SI",Datos!I16,Datos!I16+Datos!AC16)),IF(D_I="SI",Datos!I16,Datos!I16+Datos!AC16)," - ")</f>
        <v>1815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605</v>
      </c>
      <c r="AC16" s="225">
        <f>IF(ISNUMBER(Datos!Q16),Datos!Q16," - ")</f>
        <v>8</v>
      </c>
      <c r="AD16" s="333"/>
      <c r="AE16" s="483"/>
      <c r="AF16" s="595">
        <f>IF(ISNUMBER(IF(D_I="SI",Datos!L16,Datos!L16+Datos!AF16)),IF(D_I="SI",Datos!L16,Datos!L16+Datos!AF16)," - ")</f>
        <v>2173</v>
      </c>
      <c r="AG16" s="333"/>
      <c r="AH16" s="333"/>
      <c r="AI16" s="333"/>
      <c r="AJ16" s="333"/>
      <c r="AK16" s="333"/>
      <c r="AL16" s="478"/>
      <c r="AM16" s="334">
        <f>IF(ISNUMBER(Datos!R16),Datos!R16," - ")</f>
        <v>134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78</v>
      </c>
      <c r="BD16" s="228">
        <f>IF(ISNUMBER(Datos!N16),Datos!N16," - ")</f>
        <v>379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0.65264293419633224</v>
      </c>
      <c r="BH16" s="259">
        <f>IF(ISNUMBER(((IF(D_I="SI",Datos!L16/Datos!K16,(Datos!L16+Datos!AF16)/(Datos!K16+Datos!AE16)))*11)/factor_trimestre),((IF(D_I="SI",Datos!L16/Datos!K16,(Datos!L16+Datos!AF16)/(Datos!K16+Datos!AE16)))*11)/factor_trimestre," - ")</f>
        <v>7.1834710743801651</v>
      </c>
      <c r="BI16" s="242">
        <f>IF(ISNUMBER('Resol  Asuntos'!D16/NºAsuntos!G16),'Resol  Asuntos'!D16/NºAsuntos!G16," - ")</f>
        <v>0.12892561983471074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v>
      </c>
      <c r="AC17" s="225">
        <f>IF(ISNUMBER(Datos!Q17),Datos!Q17," - ")</f>
        <v>5</v>
      </c>
      <c r="AD17" s="333"/>
      <c r="AE17" s="483"/>
      <c r="AF17" s="331">
        <f>IF(ISNUMBER(Datos!L17),Datos!L17,"-")</f>
        <v>55</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1.1304347826086956</v>
      </c>
      <c r="BH17" s="259">
        <f>IF(ISNUMBER(((IF(D_I="SI",Datos!L17/Datos!K17,(Datos!L17+Datos!AF17)/(Datos!K17+Datos!AE17)))*11)/factor_trimestre),((IF(D_I="SI",Datos!L17/Datos!K17,(Datos!L17+Datos!AF17)/(Datos!K17+Datos!AE17)))*11)/factor_trimestre," - ")</f>
        <v>2.1153846153846154</v>
      </c>
      <c r="BI17" s="242">
        <f>IF(ISNUMBER('Resol  Asuntos'!D17/NºAsuntos!G17),'Resol  Asuntos'!D17/NºAsuntos!G17," - ")</f>
        <v>0.38461538461538464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1851</v>
      </c>
      <c r="G18" s="897">
        <f>SUBTOTAL(9,G15:G17)</f>
        <v>1876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657</v>
      </c>
      <c r="AC18" s="898">
        <f t="shared" si="4"/>
        <v>13</v>
      </c>
      <c r="AD18" s="898">
        <f t="shared" si="4"/>
        <v>0</v>
      </c>
      <c r="AE18" s="898">
        <f t="shared" si="4"/>
        <v>0</v>
      </c>
      <c r="AF18" s="898">
        <f t="shared" si="4"/>
        <v>2228</v>
      </c>
      <c r="AG18" s="898">
        <f t="shared" si="4"/>
        <v>0</v>
      </c>
      <c r="AH18" s="898">
        <f t="shared" si="4"/>
        <v>0</v>
      </c>
      <c r="AI18" s="898">
        <f t="shared" si="4"/>
        <v>0</v>
      </c>
      <c r="AJ18" s="898">
        <f t="shared" si="4"/>
        <v>0</v>
      </c>
      <c r="AK18" s="898">
        <f t="shared" si="4"/>
        <v>0</v>
      </c>
      <c r="AL18" s="898">
        <f t="shared" si="4"/>
        <v>0</v>
      </c>
      <c r="AM18" s="898">
        <f t="shared" si="4"/>
        <v>141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98</v>
      </c>
      <c r="BD18" s="898">
        <f t="shared" si="4"/>
        <v>413</v>
      </c>
      <c r="BE18" s="898">
        <f t="shared" si="4"/>
        <v>0</v>
      </c>
      <c r="BF18" s="898">
        <f t="shared" si="4"/>
        <v>0</v>
      </c>
      <c r="BG18" s="898">
        <f>IF(ISNUMBER(Datos!K18/Datos!J18),Datos!K18/Datos!J18," - ")</f>
        <v>0.67523124357656727</v>
      </c>
      <c r="BH18" s="902">
        <f>IF(ISNUMBER(((Datos!L18/Datos!K18)*11)/factor_trimestre),((Datos!L18/Datos!K18)*11)/factor_trimestre," - ")</f>
        <v>6.7823439878234391</v>
      </c>
      <c r="BI18" s="898">
        <f>SUBTOTAL(9,BI15:BI17)</f>
        <v>0.51354100445009543</v>
      </c>
      <c r="BJ18" s="898">
        <f>SUBTOTAL(9,BJ15:BJ17)</f>
        <v>0</v>
      </c>
      <c r="BK18" s="898">
        <f>SUBTOTAL(9,BK15:BK17)</f>
        <v>0</v>
      </c>
      <c r="BL18" s="898">
        <f>IF(ISNUMBER((I18-AB18+L18)/(F18)),(I18-AB18+L18)/(F18)," - ")</f>
        <v>-0.35494327390599678</v>
      </c>
      <c r="BM18" s="904">
        <f>IF(ISNUMBER((Datos!P18-Datos!Q18)/(Datos!R18-Datos!P18+Datos!Q18)),(Datos!P18-Datos!Q18)/(Datos!R18-Datos!P18+Datos!Q18)," - ")</f>
        <v>0.1015625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1861</v>
      </c>
      <c r="G19" s="819">
        <f t="shared" si="6"/>
        <v>1886</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248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669</v>
      </c>
      <c r="AC19" s="820">
        <f t="shared" si="7"/>
        <v>67</v>
      </c>
      <c r="AD19" s="820">
        <f t="shared" si="7"/>
        <v>0</v>
      </c>
      <c r="AE19" s="820">
        <f t="shared" si="7"/>
        <v>0</v>
      </c>
      <c r="AF19" s="827">
        <f t="shared" si="7"/>
        <v>2240</v>
      </c>
      <c r="AG19" s="827">
        <f t="shared" si="7"/>
        <v>0</v>
      </c>
      <c r="AH19" s="827">
        <f t="shared" si="7"/>
        <v>177</v>
      </c>
      <c r="AI19" s="827">
        <f t="shared" si="7"/>
        <v>0</v>
      </c>
      <c r="AJ19" s="820">
        <f t="shared" si="7"/>
        <v>0</v>
      </c>
      <c r="AK19" s="827">
        <f t="shared" si="7"/>
        <v>0</v>
      </c>
      <c r="AL19" s="827">
        <f t="shared" si="7"/>
        <v>0</v>
      </c>
      <c r="AM19" s="827">
        <f t="shared" si="7"/>
        <v>3543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285</v>
      </c>
      <c r="BD19" s="819">
        <f t="shared" si="7"/>
        <v>546</v>
      </c>
      <c r="BE19" s="819">
        <f t="shared" si="7"/>
        <v>0</v>
      </c>
      <c r="BF19" s="829">
        <f t="shared" si="7"/>
        <v>0</v>
      </c>
      <c r="BG19" s="914">
        <f>IF(ISNUMBER(Datos!K19/Datos!J19),Datos!K19/Datos!J19," - ")</f>
        <v>0.88222698072805139</v>
      </c>
      <c r="BH19" s="914">
        <f>IF(ISNUMBER(((Datos!L19/Datos!K19)*11)/factor_trimestre),((Datos!L19/Datos!K19)*11)/factor_trimestre," - ")</f>
        <v>11.147249190938512</v>
      </c>
      <c r="BI19" s="812">
        <f>IF(ISNUMBER(Datos!J19/Datos!I19),Datos!J19/Datos!I19," - ")</f>
        <v>0.20947966507177032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-0.35948414830736164</v>
      </c>
      <c r="BM19" s="888">
        <f>IF(ISNUMBER((Datos!P19-Datos!Q19+R19)/(Datos!R19-Datos!P19+Datos!Q19-R19)),(Datos!P19-Datos!Q19+R19)/(Datos!R19-Datos!P19+Datos!Q19-R19)," - ")</f>
        <v>5.3837001784651992E-2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754.4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1062.9018455781011</v>
      </c>
      <c r="G21" s="551">
        <f>IF(ISNUMBER(STDEV(G8:G18)),STDEV(G8:G18),"-")</f>
        <v>996.48447052625966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332.64741093235642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77.076585290216386</v>
      </c>
      <c r="BD21" s="550"/>
      <c r="BE21" s="550">
        <f>IF(ISNUMBER(STDEV(BE8:BE18)),STDEV(BE8:BE18),"-")</f>
        <v>0</v>
      </c>
      <c r="BF21" s="555">
        <f>IF(ISNUMBER(STDEV(BF8:BF18)),STDEV(BF8:BF18),"-")</f>
        <v>0</v>
      </c>
      <c r="BG21" s="774">
        <f>IF(ISNUMBER(STDEV(BG8:BG18)),STDEV(BG8:BG18),"-")</f>
        <v>0.32242624840977191</v>
      </c>
      <c r="BH21" s="775">
        <f>IF(ISNUMBER(STDEV(BH8:BH18)),STDEV(BH8:BH18),"-")</f>
        <v>6.3198377974758655</v>
      </c>
      <c r="BI21" s="248">
        <f>IF(ISNUMBER(STDEV(BI8:BI18)),STDEV(BI8:BI18),"-")</f>
        <v>0.16112932052561529</v>
      </c>
      <c r="BJ21" s="229" t="str">
        <f>IF(ISNUMBER(BL21/BM21),BL21/BM21," - ")</f>
        <v xml:space="preserve"> - </v>
      </c>
      <c r="BK21" s="574"/>
      <c r="BL21" s="558">
        <f>IF(ISNUMBER(STDEV(BL8:BL18)),STDEV(BL8:BL18),"-")</f>
        <v>0.59754534150837268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VDG4hQlitbpUfe7MVFP6XgW3oqRLPpLebFXvIsqlnFRHXxigUj1Wg4gI34tmTx+jF0MPyiDc901gsq0TmY8iHw==" saltValue="fh1hABg8Wec4MFuECnfY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POSADAS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18</v>
      </c>
      <c r="AA10" s="331">
        <f>IF(ISNUMBER(Datos!L10),Datos!L10,"-")</f>
        <v>12</v>
      </c>
      <c r="AB10" s="333"/>
      <c r="AC10" s="333"/>
      <c r="AD10" s="483"/>
      <c r="AE10" s="483">
        <f>IF(ISNUMBER(Datos!R10),Datos!R10," - ")</f>
        <v>48</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-0.12727272727272726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v>
      </c>
      <c r="AA12" s="331" t="str">
        <f>IF(ISNUMBER(IF(J_V="SI",Datos!L12,Datos!L12+Datos!AB12)-IF(Monitorios="SI",Datos!CD12,0)),
                          IF(J_V="SI",Datos!L12,Datos!L12+Datos!AB12)-IF(Monitorios="SI",Datos!CD12,0),
                          " - ")</f>
        <v xml:space="preserve"> - </v>
      </c>
      <c r="AB12" s="333"/>
      <c r="AC12" s="333"/>
      <c r="AD12" s="483"/>
      <c r="AE12" s="483">
        <f>IF(ISNUMBER(Datos!R12),Datos!R12," - ")</f>
        <v>3354</v>
      </c>
      <c r="AF12" s="228" t="str">
        <f>IF(ISNUMBER(Datos!BV12),Datos!BV12," - ")</f>
        <v xml:space="preserve"> - </v>
      </c>
      <c r="AG12" s="224" t="str">
        <f>IF(ISNUMBER(Datos!DV12),Datos!DV12," - ")</f>
        <v xml:space="preserve"> - </v>
      </c>
      <c r="AH12" s="297"/>
      <c r="AI12" s="226"/>
      <c r="AJ12" s="224">
        <f>IF(ISNUMBER(Datos!M12),Datos!M12," - ")</f>
        <v>181</v>
      </c>
      <c r="AK12" s="228">
        <f>IF(ISNUMBER(Datos!N12),Datos!N12," - ")</f>
        <v>133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15.875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5.50487574709028E-2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222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54</v>
      </c>
      <c r="AA13" s="899">
        <f t="shared" si="2"/>
        <v>12</v>
      </c>
      <c r="AB13" s="899">
        <f t="shared" si="2"/>
        <v>0</v>
      </c>
      <c r="AC13" s="899">
        <f t="shared" si="2"/>
        <v>0</v>
      </c>
      <c r="AD13" s="899">
        <f t="shared" si="2"/>
        <v>0</v>
      </c>
      <c r="AE13" s="899">
        <f t="shared" si="2"/>
        <v>3402</v>
      </c>
      <c r="AF13" s="907">
        <f t="shared" si="2"/>
        <v>0</v>
      </c>
      <c r="AG13" s="907">
        <f t="shared" si="2"/>
        <v>0</v>
      </c>
      <c r="AH13" s="907">
        <f t="shared" si="2"/>
        <v>0</v>
      </c>
      <c r="AI13" s="907">
        <f t="shared" si="2"/>
        <v>0</v>
      </c>
      <c r="AJ13" s="907">
        <f t="shared" si="2"/>
        <v>187</v>
      </c>
      <c r="AK13" s="907">
        <f t="shared" si="2"/>
        <v>133</v>
      </c>
      <c r="AL13" s="907">
        <f t="shared" si="2"/>
        <v>0</v>
      </c>
      <c r="AM13" s="907">
        <f t="shared" si="2"/>
        <v>0</v>
      </c>
      <c r="AN13" s="907">
        <f t="shared" si="2"/>
        <v>0</v>
      </c>
      <c r="AO13" s="903">
        <f>IF(ISNUMBER(((NºAsuntos!I13/NºAsuntos!G13)*11)/factor_trimestre),((NºAsuntos!I13/NºAsuntos!G13)*11)/factor_trimestre," - ")</f>
        <v>15.606451612903227</v>
      </c>
      <c r="AP13" s="909" t="str">
        <f>IF(ISNUMBER(Datos!CI13/Datos!CJ13),Datos!CI13/Datos!CJ13," - ")</f>
        <v xml:space="preserve"> - </v>
      </c>
      <c r="AQ13" s="927">
        <f t="shared" ref="AQ13:AV13" si="3">SUBTOTAL(9,AQ9:AQ12)</f>
        <v>0</v>
      </c>
      <c r="AR13" s="927">
        <f t="shared" si="3"/>
        <v>-7.2223969801824467E-2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1851</v>
      </c>
      <c r="G16" s="224">
        <f>IF(ISNUMBER(IF(D_I="SI",Datos!I16,Datos!I16+Datos!AC16)),IF(D_I="SI",Datos!I16,Datos!I16+Datos!AC16)," - ")</f>
        <v>1815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605</v>
      </c>
      <c r="Z16" s="618">
        <f>IF(ISNUMBER(Datos!Q16),Datos!Q16," - ")</f>
        <v>8</v>
      </c>
      <c r="AA16" s="331">
        <f>IF(ISNUMBER(IF(D_I="SI",Datos!L16,Datos!L16+Datos!AF16)),IF(D_I="SI",Datos!L16,Datos!L16+Datos!AF16)," - ")</f>
        <v>2173</v>
      </c>
      <c r="AB16" s="333"/>
      <c r="AC16" s="333"/>
      <c r="AD16" s="483"/>
      <c r="AE16" s="483">
        <f>IF(ISNUMBER(Datos!R16),Datos!R16," - ")</f>
        <v>134</v>
      </c>
      <c r="AF16" s="228" t="str">
        <f>IF(ISNUMBER(Datos!BV16),Datos!BV16," - ")</f>
        <v xml:space="preserve"> - </v>
      </c>
      <c r="AG16" s="224"/>
      <c r="AH16" s="297"/>
      <c r="AI16" s="226"/>
      <c r="AJ16" s="224">
        <f>IF(ISNUMBER(Datos!M16),Datos!M16," - ")</f>
        <v>78</v>
      </c>
      <c r="AK16" s="228">
        <f>IF(ISNUMBER(Datos!N16),Datos!N16," - ")</f>
        <v>379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7.1834710743801651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v>
      </c>
      <c r="Z17" s="618">
        <f>IF(ISNUMBER(Datos!Q17),Datos!Q17," - ")</f>
        <v>5</v>
      </c>
      <c r="AA17" s="331">
        <f>IF(ISNUMBER(Datos!L17),Datos!L17,"-")</f>
        <v>55</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20</v>
      </c>
      <c r="AK17" s="228">
        <f>IF(ISNUMBER(Datos!N17),Datos!N17," - ")</f>
        <v>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2.1153846153846154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1851</v>
      </c>
      <c r="G18" s="897">
        <f>SUBTOTAL(9,G15:G17)</f>
        <v>1876</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657</v>
      </c>
      <c r="Z18" s="931">
        <f t="shared" si="5"/>
        <v>13</v>
      </c>
      <c r="AA18" s="931">
        <f t="shared" si="5"/>
        <v>2228</v>
      </c>
      <c r="AB18" s="931">
        <f t="shared" si="5"/>
        <v>0</v>
      </c>
      <c r="AC18" s="931">
        <f t="shared" si="5"/>
        <v>0</v>
      </c>
      <c r="AD18" s="931">
        <f t="shared" si="5"/>
        <v>0</v>
      </c>
      <c r="AE18" s="931">
        <f t="shared" si="5"/>
        <v>141</v>
      </c>
      <c r="AF18" s="931">
        <f t="shared" si="5"/>
        <v>0</v>
      </c>
      <c r="AG18" s="931">
        <f t="shared" si="5"/>
        <v>0</v>
      </c>
      <c r="AH18" s="931">
        <f t="shared" si="5"/>
        <v>0</v>
      </c>
      <c r="AI18" s="931">
        <f t="shared" si="5"/>
        <v>0</v>
      </c>
      <c r="AJ18" s="931">
        <f t="shared" si="5"/>
        <v>98</v>
      </c>
      <c r="AK18" s="931">
        <f t="shared" si="5"/>
        <v>413</v>
      </c>
      <c r="AL18" s="931">
        <f t="shared" si="5"/>
        <v>0</v>
      </c>
      <c r="AM18" s="931">
        <f t="shared" si="5"/>
        <v>0</v>
      </c>
      <c r="AN18" s="931">
        <f t="shared" si="5"/>
        <v>0</v>
      </c>
      <c r="AO18" s="933">
        <f>IF(ISNUMBER(((NºAsuntos!I18/NºAsuntos!G18)*11)/factor_trimestre),((NºAsuntos!I18/NºAsuntos!G18)*11)/factor_trimestre," - ")</f>
        <v>6.7823439878234391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1861</v>
      </c>
      <c r="G19" s="819">
        <f t="shared" si="7"/>
        <v>1886</v>
      </c>
      <c r="H19" s="820">
        <f t="shared" si="7"/>
        <v>0</v>
      </c>
      <c r="I19" s="819">
        <f t="shared" si="7"/>
        <v>0</v>
      </c>
      <c r="J19" s="821">
        <f t="shared" si="7"/>
        <v>0</v>
      </c>
      <c r="K19" s="819">
        <f t="shared" si="7"/>
        <v>0</v>
      </c>
      <c r="L19" s="822">
        <f t="shared" si="7"/>
        <v>0</v>
      </c>
      <c r="M19" s="819">
        <f t="shared" si="7"/>
        <v>0</v>
      </c>
      <c r="N19" s="820">
        <f t="shared" si="7"/>
        <v>248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669</v>
      </c>
      <c r="Z19" s="826">
        <f t="shared" si="8"/>
        <v>67</v>
      </c>
      <c r="AA19" s="827">
        <f t="shared" si="8"/>
        <v>2240</v>
      </c>
      <c r="AB19" s="827">
        <f t="shared" si="8"/>
        <v>0</v>
      </c>
      <c r="AC19" s="827">
        <f t="shared" si="8"/>
        <v>0</v>
      </c>
      <c r="AD19" s="828">
        <f t="shared" si="8"/>
        <v>0</v>
      </c>
      <c r="AE19" s="828">
        <f t="shared" si="8"/>
        <v>3543</v>
      </c>
      <c r="AF19" s="829">
        <f t="shared" si="8"/>
        <v>0</v>
      </c>
      <c r="AG19" s="830">
        <f t="shared" si="8"/>
        <v>0</v>
      </c>
      <c r="AH19" s="831">
        <f t="shared" si="8"/>
        <v>0</v>
      </c>
      <c r="AI19" s="829">
        <f t="shared" si="8"/>
        <v>0</v>
      </c>
      <c r="AJ19" s="819">
        <f t="shared" si="8"/>
        <v>285</v>
      </c>
      <c r="AK19" s="819">
        <f t="shared" si="8"/>
        <v>546</v>
      </c>
      <c r="AL19" s="819">
        <f t="shared" si="8"/>
        <v>0</v>
      </c>
      <c r="AM19" s="832">
        <f t="shared" si="8"/>
        <v>0</v>
      </c>
      <c r="AN19" s="822">
        <f>IF(ISNUMBER(Datos!K19/Datos!J19),Datos!K19/Datos!J19," - ")</f>
        <v>0.88222698072805139</v>
      </c>
      <c r="AO19" s="822">
        <f>IF(ISNUMBER(FIND("06",Criterios!A8,1)),(IF(ISNUMBER(((Datos!R19/Datos!Q19)*11)/factor_trimestre),((Datos!R19/Datos!Q19)*11)/factor_trimestre," - ")),(IF(ISNUMBER(((Datos!L19/Datos!K19)*11)/factor_trimestre),((Datos!L19/Datos!K19)*11)/factor_trimestre," - ")))</f>
        <v>11.147249190938512</v>
      </c>
      <c r="AP19" s="833" t="str">
        <f>IF(ISNUMBER(Datos!CI19/Datos!CJ19),Datos!CI19/Datos!CJ19," - ")</f>
        <v xml:space="preserve"> - </v>
      </c>
      <c r="AQ19" s="833">
        <f>IF(OR(ISNUMBER(FIND("01",Criterios!A8,1)),ISNUMBER(FIND("02",Criterios!A8,1)),ISNUMBER(FIND("03",Criterios!A8,1)),ISNUMBER(FIND("04",Criterios!A8,1))),(J19-Y19+K19)/(F19-K19),(I19-Y19+K19)/(F19-K19))</f>
        <v>-0.35948414830736164</v>
      </c>
      <c r="AR19" s="833">
        <f>IF(ISNUMBER((Datos!P19-Datos!Q19+O19)/(Datos!R19-Datos!P19+Datos!Q19-O19)),(Datos!P19-Datos!Q19+O19)/(Datos!R19-Datos!P19+Datos!Q19-O19)," - ")</f>
        <v>5.3837001784651992E-2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754.4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1062.9018455781011</v>
      </c>
      <c r="G21" s="551">
        <f>IF(ISNUMBER(STDEV(G8:G18)),STDEV(G8:G18),"-")</f>
        <v>996.48447052625966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77.076585290216386</v>
      </c>
      <c r="AK21" s="251"/>
      <c r="AL21" s="251">
        <f>IF(ISNUMBER(STDEV(AL8:AL18)),STDEV(AL8:AL18),"-")</f>
        <v>0</v>
      </c>
      <c r="AM21" s="253">
        <f>IF(ISNUMBER(STDEV(AM8:AM18)),STDEV(AM8:AM18),"-")</f>
        <v>0</v>
      </c>
      <c r="AN21" s="538">
        <f>IF(ISNUMBER(STDEV(AN8:AN18)),STDEV(AN8:AN18),"-")</f>
        <v>0</v>
      </c>
      <c r="AO21" s="539">
        <f>IF(ISNUMBER(STDEV(AO8:AO18)),STDEV(AO8:AO18),"-")</f>
        <v>6.2007234283112682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4r82Tv/g2LC/73GiQ/g4xkpVCB+hrvnSHrSg95jS4qx7P2nLIviF3glioskdgQSNLZA8vmRWmz8uiFLtGmOY3A==" saltValue="pMk1rvSaLXxGQWsV32qf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H4sp/D/fTI5yY+hX5FmPtK+j6HsasVux9Vj1VUbvi1+DmfvwDyBy71dakQ2BORy53BUv19HFzDQ5Z1VdHA03w==" saltValue="JyNNIiF0HXISOTKc8iLS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k2b72+EqQ/Urvy47oSbeNgU0gQAP+QrvMTeMaW1iUHLf3nT18t9mD3vfXAXG4okJamzTutKQMXKp5O0I5jTw==" saltValue="AuGEY9BeCjexKx0t5heJB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POSADAS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0.30161290322580647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0.21327252916432968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M/snS2mFxQPoUxeY3QEzWP4fU8Xe2HTGD8uvK1qXgE0PuN8Bt7GlGOQZiKw9Z4LJXEf/HmvTEppmB0XOF8rKvQ==" saltValue="0ElTQlvXoFgqsR6NEiy1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UG8WnMsQHaNQ/Y2pDrlfB2FQa0jgfYlu4czXXp9MeTUMHLQIqkm4AdypU5LnA0IiRhd2RYqiof7uYDhjG19fA==" saltValue="9Qrtv74H7w8j3hG2JdE8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POSADAS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14</v>
      </c>
      <c r="F10" s="403">
        <f>IF(ISNUMBER(E10/B10),E10/B10," - ")</f>
        <v>14</v>
      </c>
      <c r="G10" s="402">
        <f>IF(ISNUMBER(Datos!K10),Datos!K10," - ")</f>
        <v>12</v>
      </c>
      <c r="H10" s="403">
        <f>IF(ISNUMBER(G10/B10),G10/B10," - ")</f>
        <v>12</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4988</v>
      </c>
      <c r="D12" s="403">
        <f>IF(ISNUMBER(C12/Datos!BH12),C12/Datos!BH12," - ")</f>
        <v>1662.6666666666667</v>
      </c>
      <c r="E12" s="402">
        <f>IF(ISNUMBER(IF(J_V="SI",Datos!J12,Datos!J12+Datos!Z12)),IF(J_V="SI",Datos!J12,Datos!J12+Datos!Z12)," - ")</f>
        <v>446</v>
      </c>
      <c r="F12" s="403">
        <f>IF(ISNUMBER(E12/B12),E12/B12," - ")</f>
        <v>148.66666666666666</v>
      </c>
      <c r="G12" s="402">
        <f>IF(ISNUMBER(IF(J_V="SI",Datos!K12,Datos!K12+Datos!AA12)),IF(J_V="SI",Datos!K12,Datos!K12+Datos!AA12)," - ")</f>
        <v>608</v>
      </c>
      <c r="H12" s="403">
        <f>IF(ISNUMBER(G12/B12),G12/B12," - ")</f>
        <v>202.66666666666666</v>
      </c>
      <c r="I12" s="402">
        <f>IF(ISNUMBER(IF(J_V="SI",Datos!L12,Datos!L12+Datos!AB12)),IF(J_V="SI",Datos!L12,Datos!L12+Datos!AB12)," - ")</f>
        <v>4826</v>
      </c>
      <c r="J12" s="403">
        <f>IF(ISNUMBER(I12/B12),I12/B12," - ")</f>
        <v>1608.6666666666667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4998</v>
      </c>
      <c r="D13" s="849" t="str">
        <f>IF(ISNUMBER(C13/Datos!BI13),C13/Datos!BI13," - ")</f>
        <v xml:space="preserve"> - </v>
      </c>
      <c r="E13" s="848">
        <f>SUBTOTAL(9,E8:E12)</f>
        <v>460</v>
      </c>
      <c r="F13" s="849">
        <f>IF(ISNUMBER(E13/B13),E13/B13," - ")</f>
        <v>153.33333333333334</v>
      </c>
      <c r="G13" s="848">
        <f>SUBTOTAL(9,G8:G12)</f>
        <v>620</v>
      </c>
      <c r="H13" s="849">
        <f>IF(ISNUMBER(G13/B13),G13/B13," - ")</f>
        <v>206.66666666666666</v>
      </c>
      <c r="I13" s="848">
        <f>SUBTOTAL(9,I8:I12)</f>
        <v>4838</v>
      </c>
      <c r="J13" s="849">
        <f>IF(ISNUMBER(I13/B13),I13/B13," - ")</f>
        <v>1612.6666666666667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1815</v>
      </c>
      <c r="D16" s="403">
        <f>IF(ISNUMBER(C16/Datos!BH16),C16/Datos!BH16," - ")</f>
        <v>605</v>
      </c>
      <c r="E16" s="402">
        <f>IF(ISNUMBER(IF(D_I="SI",Datos!J16,Datos!J16+Datos!AD16)),IF(D_I="SI",Datos!J16,Datos!J16+Datos!AD16)," - ")</f>
        <v>927</v>
      </c>
      <c r="F16" s="403">
        <f>IF(ISNUMBER(E16/B16),E16/B16," - ")</f>
        <v>309</v>
      </c>
      <c r="G16" s="402">
        <f>IF(ISNUMBER(IF(D_I="SI",Datos!K16,Datos!K16+Datos!AE16)),IF(D_I="SI",Datos!K16,Datos!K16+Datos!AE16)," - ")</f>
        <v>605</v>
      </c>
      <c r="H16" s="403">
        <f>IF(ISNUMBER(G16/B16),G16/B16," - ")</f>
        <v>201.66666666666666</v>
      </c>
      <c r="I16" s="402">
        <f>IF(ISNUMBER(IF(D_I="SI",Datos!L16,Datos!L16+Datos!AF16)),IF(D_I="SI",Datos!L16,Datos!L16+Datos!AF16)," - ")</f>
        <v>2173</v>
      </c>
      <c r="J16" s="403">
        <f>IF(ISNUMBER(I16/B16),I16/B16," - ")</f>
        <v>724.33333333333337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61</v>
      </c>
      <c r="D17" s="403">
        <f>IF(ISNUMBER(C17/Datos!BH17),C17/Datos!BH17," - ")</f>
        <v>61</v>
      </c>
      <c r="E17" s="402">
        <f>IF(ISNUMBER(IF(D_I="SI",Datos!J17,Datos!J17+Datos!AD17)),IF(D_I="SI",Datos!J17,Datos!J17+Datos!AD17)," - ")</f>
        <v>46</v>
      </c>
      <c r="F17" s="403">
        <f>IF(ISNUMBER(E17/B17),E17/B17," - ")</f>
        <v>46</v>
      </c>
      <c r="G17" s="402">
        <f>IF(ISNUMBER(IF(D_I="SI",Datos!K17,Datos!K17+Datos!AE17)),IF(D_I="SI",Datos!K17,Datos!K17+Datos!AE17)," - ")</f>
        <v>52</v>
      </c>
      <c r="H17" s="403">
        <f>IF(ISNUMBER(G17/B17),G17/B17," - ")</f>
        <v>52</v>
      </c>
      <c r="I17" s="402">
        <f>IF(ISNUMBER(IF(D_I="SI",Datos!L17,Datos!L17+Datos!AF17)),IF(D_I="SI",Datos!L17,Datos!L17+Datos!AF17)," - ")</f>
        <v>55</v>
      </c>
      <c r="J17" s="403">
        <f>IF(ISNUMBER(I17/B17),I17/B17," - ")</f>
        <v>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1876</v>
      </c>
      <c r="D18" s="849" t="str">
        <f>IF(ISNUMBER(C18/Datos!BI18),C18/Datos!BI18," - ")</f>
        <v xml:space="preserve"> - </v>
      </c>
      <c r="E18" s="848">
        <f>SUBTOTAL(9,E14:E17)</f>
        <v>973</v>
      </c>
      <c r="F18" s="849">
        <f>IF(ISNUMBER(E18/B18),E18/B18," - ")</f>
        <v>324.33333333333331</v>
      </c>
      <c r="G18" s="848">
        <f>SUBTOTAL(9,G14:G17)</f>
        <v>657</v>
      </c>
      <c r="H18" s="849">
        <f>IF(ISNUMBER(G18/B18),G18/B18," - ")</f>
        <v>219</v>
      </c>
      <c r="I18" s="848">
        <f>SUBTOTAL(9,I14:I17)</f>
        <v>2228</v>
      </c>
      <c r="J18" s="849">
        <f>IF(ISNUMBER(I18/B18),I18/B18," - ")</f>
        <v>742.66666666666663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6874</v>
      </c>
      <c r="D19" s="794" t="str">
        <f>IF(ISNUMBER(C19/Datos!BI19),C19/Datos!BI19," - ")</f>
        <v xml:space="preserve"> - </v>
      </c>
      <c r="E19" s="793">
        <f>SUBTOTAL(9,E9:E18)</f>
        <v>1433</v>
      </c>
      <c r="F19" s="794">
        <f>IF(ISNUMBER(E19/B19),E19/B19," - ")</f>
        <v>477.66666666666669</v>
      </c>
      <c r="G19" s="793">
        <f>SUBTOTAL(9,G9:G18)</f>
        <v>1277</v>
      </c>
      <c r="H19" s="794">
        <f>IF(ISNUMBER(G19/B19),G19/B19," - ")</f>
        <v>425.66666666666669</v>
      </c>
      <c r="I19" s="793">
        <f>SUBTOTAL(9,I9:I18)</f>
        <v>7066</v>
      </c>
      <c r="J19" s="794">
        <f>IF(ISNUMBER(I19/B19),I19/B19," - ")</f>
        <v>2355.3333333333335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ZAh4DIgohGtrufNBUFfBG2U7CDdw3thi/mgW7jmRBu58Ak0zPsP7Hyoo0Zfu6gXk4GChEByv86OSUgrbA1rPTg==" saltValue="0anxpLRwZbk3K+Y+X1tz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POSADAS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181</v>
      </c>
      <c r="AM12" s="689">
        <f>IF(ISNUMBER(Datos!N12+DatosP!N16),Datos!N12+DatosP!N16," - ")</f>
        <v>133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15.875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5.50487574709028E-2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222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36</v>
      </c>
      <c r="AE13" s="938">
        <f t="shared" si="1"/>
        <v>0</v>
      </c>
      <c r="AF13" s="938">
        <f t="shared" si="1"/>
        <v>12</v>
      </c>
      <c r="AG13" s="938">
        <f t="shared" si="1"/>
        <v>0</v>
      </c>
      <c r="AH13" s="938">
        <f t="shared" si="1"/>
        <v>3354</v>
      </c>
      <c r="AI13" s="938">
        <f t="shared" si="1"/>
        <v>0</v>
      </c>
      <c r="AJ13" s="938">
        <f t="shared" si="1"/>
        <v>0</v>
      </c>
      <c r="AK13" s="938">
        <f t="shared" si="1"/>
        <v>0</v>
      </c>
      <c r="AL13" s="938">
        <f t="shared" si="1"/>
        <v>187</v>
      </c>
      <c r="AM13" s="938">
        <f t="shared" si="1"/>
        <v>133</v>
      </c>
      <c r="AN13" s="938">
        <f t="shared" si="1"/>
        <v>0</v>
      </c>
      <c r="AO13" s="938">
        <f t="shared" si="1"/>
        <v>0</v>
      </c>
      <c r="AP13" s="943">
        <f>IF(ISNUMBER(((Datos!L13/Datos!K13)*11)/factor_trimestre),((Datos!L13/Datos!K13)*11)/factor_trimestre," - ")</f>
        <v>16.100172711571677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v>
      </c>
      <c r="AU13" s="938" t="str">
        <f>IF(ISNUMBER((DatosP!#REF!-DatosP!#REF!+DatosP!#REF!)/(DatosP!#REF!+DatosP!#REF!-DatosP!#REF!-DatosP!#REF!)),(DatosP!#REF!-DatosP!#REF!+DatosP!#REF!)/(DatosP!#REF!+DatosP!#REF!-DatosP!#REF!-DatosP!#REF!)," - ")</f>
        <v xml:space="preserve"> - </v>
      </c>
      <c r="AV13" s="944">
        <f>SUBTOTAL(9,AV9:AV12)</f>
        <v>5.50487574709028E-2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6.7823439878234391</v>
      </c>
      <c r="AQ18" s="943">
        <f>IF(ISNUMBER(((Datos!M18/Datos!L18)*11)/factor_trimestre),((Datos!M18/Datos!L18)*11)/factor_trimestre," - ")</f>
        <v>8.7971274685816878E-2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0.1015625</v>
      </c>
      <c r="AW18" s="945">
        <f>IF(ISNUMBER((Datos!Q18-Datos!R18)/(Datos!S18-Datos!Q18+Datos!R18)),(Datos!Q18-Datos!R18)/(Datos!S18-Datos!Q18+Datos!R18)," - ")</f>
        <v>-7.2234762979683967E-2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222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36</v>
      </c>
      <c r="AE19" s="956">
        <f t="shared" si="5"/>
        <v>0</v>
      </c>
      <c r="AF19" s="957">
        <f t="shared" si="5"/>
        <v>12</v>
      </c>
      <c r="AG19" s="957">
        <f t="shared" si="5"/>
        <v>0</v>
      </c>
      <c r="AH19" s="957">
        <f t="shared" si="5"/>
        <v>3354</v>
      </c>
      <c r="AI19" s="957">
        <f t="shared" si="5"/>
        <v>0</v>
      </c>
      <c r="AJ19" s="958">
        <f t="shared" si="5"/>
        <v>0</v>
      </c>
      <c r="AK19" s="958">
        <f t="shared" si="5"/>
        <v>0</v>
      </c>
      <c r="AL19" s="950">
        <f t="shared" si="5"/>
        <v>187</v>
      </c>
      <c r="AM19" s="950">
        <f t="shared" si="5"/>
        <v>133</v>
      </c>
      <c r="AN19" s="950">
        <f t="shared" si="5"/>
        <v>0</v>
      </c>
      <c r="AO19" s="950">
        <f t="shared" si="5"/>
        <v>0</v>
      </c>
      <c r="AP19" s="950">
        <f>IF(ISNUMBER(((Datos!L19/Datos!K19)*11)/factor_trimestre),((Datos!L19/Datos!K19)*11)/factor_trimestre," - ")</f>
        <v>11.147249190938512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5.3837001784651992E-2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104.55779900769399</v>
      </c>
      <c r="AM21" s="735"/>
      <c r="AN21" s="735">
        <f>IF(ISNUMBER(STDEV(AN8:AN18)),STDEV(AN8:AN18),"-")</f>
        <v>0</v>
      </c>
      <c r="AO21" s="741">
        <f>IF(ISNUMBER(STDEV(AO8:AO18)),STDEV(AO8:AO18),"-")</f>
        <v>0</v>
      </c>
      <c r="AP21" s="778">
        <f>IF(ISNUMBER(STDEV(AP8:AP18)),STDEV(AP8:AP18),"-")</f>
        <v>6.9746585205832625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1zUdyvXiRYc9suDPiBirBJ/AaRSdKYgCxgq02DGnNZxfb18A54bwOpX/oD2AKzxRAYNQjxudaLdckuQMP3Wrg==" saltValue="F2JA2JqAjLz/uAdofAsM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POSADAS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hyNSq/7anZ9Nm9j4eML5HSLeCKWBxeXVWBW7Z4qvisVN4XqVC7kPhGJtR7WU7xI+tTyFwKZWHcfNRczj/jWg==" saltValue="iKXVBpkd7CokWr9VJQAQ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POSADAS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181</v>
      </c>
      <c r="E12" s="403">
        <f t="shared" si="0"/>
        <v>60.333333333333336</v>
      </c>
      <c r="F12" s="402">
        <f>IF(ISNUMBER(Datos!N12),Datos!N12," - ")</f>
        <v>133</v>
      </c>
      <c r="G12" s="403">
        <f t="shared" si="1"/>
        <v>44.333333333333336</v>
      </c>
      <c r="H12" s="402">
        <f>IF(ISNUMBER(Datos!O12),Datos!O12," - ")</f>
        <v>201</v>
      </c>
      <c r="I12" s="403">
        <f t="shared" si="2"/>
        <v>67</v>
      </c>
      <c r="BZ12" s="1185">
        <f>Datos!EZ12</f>
        <v>0</v>
      </c>
    </row>
    <row r="13" spans="1:78" ht="14.25" thickTop="1" thickBot="1">
      <c r="A13" s="847" t="str">
        <f>Datos!A13</f>
        <v>TOTAL</v>
      </c>
      <c r="B13" s="848">
        <f>Datos!AP13</f>
        <v>3</v>
      </c>
      <c r="C13" s="850">
        <f>Datos!AR13</f>
        <v>3</v>
      </c>
      <c r="D13" s="848">
        <f>SUBTOTAL(9,D9:D12)</f>
        <v>187</v>
      </c>
      <c r="E13" s="849">
        <f t="shared" si="0"/>
        <v>62.333333333333336</v>
      </c>
      <c r="F13" s="848">
        <f>SUBTOTAL(9,F9:F12)</f>
        <v>133</v>
      </c>
      <c r="G13" s="849">
        <f t="shared" si="1"/>
        <v>44.333333333333336</v>
      </c>
      <c r="H13" s="848">
        <f>SUBTOTAL(9,H9:H12)</f>
        <v>201</v>
      </c>
      <c r="I13" s="849">
        <f>IF(ISNUMBER(H13/B13),H13/B13," - ")</f>
        <v>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78</v>
      </c>
      <c r="E16" s="403">
        <f t="shared" si="3"/>
        <v>26</v>
      </c>
      <c r="F16" s="402">
        <f>IF(ISNUMBER(Datos!N16),Datos!N16," - ")</f>
        <v>379</v>
      </c>
      <c r="G16" s="403">
        <f t="shared" si="4"/>
        <v>126.33333333333333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34</v>
      </c>
      <c r="G17" s="403">
        <f>IF(ISNUMBER(F17/B17),F17/B17," - ")</f>
        <v>34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98</v>
      </c>
      <c r="E18" s="849">
        <f t="shared" si="3"/>
        <v>32.666666666666664</v>
      </c>
      <c r="F18" s="848">
        <f>SUBTOTAL(9,F15:F17)</f>
        <v>413</v>
      </c>
      <c r="G18" s="849">
        <f t="shared" si="4"/>
        <v>137.66666666666666</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285</v>
      </c>
      <c r="E19" s="794">
        <f>IF(ISNUMBER(D19/B19),D19/B19," - ")</f>
        <v>95</v>
      </c>
      <c r="F19" s="793">
        <f>SUBTOTAL(9,F8:F18)</f>
        <v>546</v>
      </c>
      <c r="G19" s="794">
        <f>IF(ISNUMBER(F19/B19),F19/B19," - ")</f>
        <v>182</v>
      </c>
      <c r="H19" s="793">
        <f>SUBTOTAL(9,H8:H18)</f>
        <v>201</v>
      </c>
      <c r="I19" s="794">
        <f>IF(ISNUMBER(H19/B19),H19/B19," - ")</f>
        <v>67</v>
      </c>
    </row>
    <row r="22" spans="1:78">
      <c r="A22" s="390" t="str">
        <f>Criterios!A4</f>
        <v>Fecha Informe: 09 dic. 2025</v>
      </c>
    </row>
    <row r="27" spans="1:78">
      <c r="A27" s="413"/>
    </row>
  </sheetData>
  <sheetProtection algorithmName="SHA-512" hashValue="dBclz84wfgVqnRp0STL9R/mGMF2NBZGcKXG/QomSDwYtZXdpzZAPVmlMIEMzlkLY3lHozJlqURvEUm5A7tYFJQ==" saltValue="E37H0AtMZ1Kyn97vv8VG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POSADAS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11</v>
      </c>
      <c r="C10" s="433">
        <f>IF(ISNUMBER(Datos!Q10),Datos!Q10," - ")</f>
        <v>18</v>
      </c>
      <c r="D10" s="407">
        <f>IF(ISNUMBER(Datos!R10),Datos!R10," - ")</f>
        <v>48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211</v>
      </c>
      <c r="C12" s="433">
        <f>IF(ISNUMBER(Datos!Q12),Datos!Q12," - ")</f>
        <v>36</v>
      </c>
      <c r="D12" s="407">
        <f>IF(ISNUMBER(Datos!R12),Datos!R12," - ")</f>
        <v>3354</v>
      </c>
    </row>
    <row r="13" spans="1:4" ht="14.25" thickTop="1" thickBot="1">
      <c r="A13" s="847" t="str">
        <f>Datos!A13</f>
        <v>TOTAL</v>
      </c>
      <c r="B13" s="848">
        <f>SUBTOTAL(9,B9:B12)</f>
        <v>222</v>
      </c>
      <c r="C13" s="852">
        <f>SUBTOTAL(9,C9:C12)</f>
        <v>54</v>
      </c>
      <c r="D13" s="850">
        <f>SUBTOTAL(9,D9:D12)</f>
        <v>3402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8</v>
      </c>
      <c r="D16" s="407">
        <f>IF(ISNUMBER(Datos!R16),Datos!R16," - ")</f>
        <v>134</v>
      </c>
    </row>
    <row r="17" spans="1:4" ht="13.5" thickBot="1">
      <c r="A17" s="401" t="str">
        <f>Datos!A17</f>
        <v>Jdos. Violencia contra la mujer/Secc Viol. TI.</v>
      </c>
      <c r="B17" s="432">
        <f>IF(ISNUMBER(Datos!P17),Datos!P17," - ")</f>
        <v>8</v>
      </c>
      <c r="C17" s="433">
        <f>IF(ISNUMBER(Datos!Q17),Datos!Q17," - ")</f>
        <v>5</v>
      </c>
      <c r="D17" s="407">
        <f>IF(ISNUMBER(Datos!R17),Datos!R17," - ")</f>
        <v>7</v>
      </c>
    </row>
    <row r="18" spans="1:4" ht="14.25" thickTop="1" thickBot="1">
      <c r="A18" s="847" t="str">
        <f>Datos!A18</f>
        <v>TOTAL</v>
      </c>
      <c r="B18" s="848">
        <f>SUBTOTAL(9,B15:B17)</f>
        <v>26</v>
      </c>
      <c r="C18" s="852">
        <f>SUBTOTAL(9,C15:C17)</f>
        <v>13</v>
      </c>
      <c r="D18" s="850">
        <f>SUBTOTAL(9,D15:D17)</f>
        <v>141</v>
      </c>
    </row>
    <row r="19" spans="1:4" ht="16.5" customHeight="1" thickTop="1" thickBot="1">
      <c r="A19" s="792" t="str">
        <f>Datos!A19</f>
        <v>TOTAL JURISDICCIONES</v>
      </c>
      <c r="B19" s="797">
        <f>SUBTOTAL(9,B8:B18)</f>
        <v>248</v>
      </c>
      <c r="C19" s="798">
        <f>SUBTOTAL(9,C8:C18)</f>
        <v>67</v>
      </c>
      <c r="D19" s="799">
        <f>SUBTOTAL(9,D8:D18)</f>
        <v>3543</v>
      </c>
    </row>
    <row r="20" spans="1:4" ht="7.5" customHeight="1"/>
    <row r="21" spans="1:4" ht="6" customHeight="1"/>
    <row r="22" spans="1:4">
      <c r="A22" s="390" t="str">
        <f>Criterios!A4</f>
        <v>Fecha Informe: 09 dic. 2025</v>
      </c>
    </row>
    <row r="27" spans="1:4">
      <c r="A27" s="413"/>
    </row>
  </sheetData>
  <sheetProtection algorithmName="SHA-512" hashValue="rGl/cdPae11vKaKvIvgmxUKMQjaZJQhmM2VP8JCs/TBStE8OWDXe/zMetkb+mFXvmuCcuVw7xbkqHMIHJ4B/IQ==" saltValue="B5xyW6NMZjSS4PMqs+Y/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POSADAS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-0.62962962962962965</v>
      </c>
      <c r="C10" s="455">
        <f>IF(ISNUMBER((Datos!J10-Datos!T10)/Datos!T10),(Datos!J10-Datos!T10)/Datos!T10," - ")</f>
        <v>0</v>
      </c>
      <c r="D10" s="455">
        <f>IF(ISNUMBER((Datos!K10-Datos!U10)/Datos!U10),(Datos!K10-Datos!U10)/Datos!U10," - ")</f>
        <v>-0.2</v>
      </c>
      <c r="E10" s="455">
        <f>IF(ISNUMBER((Datos!L10-Datos!V10)/Datos!V10),(Datos!L10-Datos!V10)/Datos!V10," - ")</f>
        <v>-0.53846153846153844</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-0.2</v>
      </c>
      <c r="I10" s="455">
        <f>IF(ISNUMBER(((NºAsuntos!I10/NºAsuntos!G10)-Datos!BE10)/Datos!BE10),((NºAsuntos!I10/NºAsuntos!G10)-Datos!BE10)/Datos!BE10," - ")</f>
        <v>-0.42307692307692307</v>
      </c>
      <c r="J10" s="460">
        <f>IF(ISNUMBER((('Resol  Asuntos'!D10/NºAsuntos!G10)-Datos!BF10)/Datos!BF10),(('Resol  Asuntos'!D10/NºAsuntos!G10)-Datos!BF10)/Datos!BF10," - ")</f>
        <v>1.4999999999999998</v>
      </c>
      <c r="K10" s="461">
        <f>IF(ISNUMBER((((NºAsuntos!C10+NºAsuntos!E10)/NºAsuntos!G10)-Datos!BG10)/Datos!BG10),(((NºAsuntos!C10+NºAsuntos!E10)/NºAsuntos!G10)-Datos!BG10)/Datos!BG10," - ")</f>
        <v>-0.26829268292682928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0.32589048378522062</v>
      </c>
      <c r="C12" s="455">
        <f>IF(ISNUMBER(
   IF(J_V="SI",(Datos!J12-Datos!T12)/Datos!T12,(Datos!J12+Datos!Z12-(Datos!T12+Datos!AH12))/(Datos!T12+Datos!AH12))
     ),IF(J_V="SI",(Datos!J12-Datos!T12)/Datos!T12,(Datos!J12+Datos!Z12-(Datos!T12+Datos!AH12))/(Datos!T12+Datos!AH12))," - ")</f>
        <v>-0.30094043887147337</v>
      </c>
      <c r="D12" s="455">
        <f>IF(ISNUMBER(
   IF(J_V="SI",(Datos!K12-Datos!U12)/Datos!U12,(Datos!K12+Datos!AA12-(Datos!U12+Datos!AI12))/(Datos!U12+Datos!AI12))
     ),IF(J_V="SI",(Datos!K12-Datos!U12)/Datos!U12,(Datos!K12+Datos!AA12-(Datos!U12+Datos!AI12))/(Datos!U12+Datos!AI12))," - ")</f>
        <v>0.19921104536489151</v>
      </c>
      <c r="E12" s="455">
        <f>IF(ISNUMBER(
   IF(J_V="SI",(Datos!L12-Datos!V12)/Datos!V12,(Datos!L12+Datos!AB12-(Datos!V12+Datos!AJ12))/(Datos!V12+Datos!AJ12))
     ),IF(J_V="SI",(Datos!L12-Datos!V12)/Datos!V12,(Datos!L12+Datos!AB12-(Datos!V12+Datos!AJ12))/(Datos!V12+Datos!AJ12))," - ")</f>
        <v>0.23966092987413307</v>
      </c>
      <c r="F12" s="455">
        <f>IF(ISNUMBER((Datos!M12-Datos!W12)/Datos!W12),(Datos!M12-Datos!W12)/Datos!W12," - ")</f>
        <v>0.79207920792079212</v>
      </c>
      <c r="G12" s="456">
        <f>IF(ISNUMBER((Datos!N12-Datos!X12)/Datos!X12),(Datos!N12-Datos!X12)/Datos!X12," - ")</f>
        <v>5.5555555555555552E-2</v>
      </c>
      <c r="H12" s="454">
        <f>IF(ISNUMBER(((NºAsuntos!G12/NºAsuntos!E12)-Datos!BD12)/Datos!BD12),((NºAsuntos!G12/NºAsuntos!E12)-Datos!BD12)/Datos!BD12," - ")</f>
        <v>0.71546333395246808</v>
      </c>
      <c r="I12" s="455">
        <f>IF(ISNUMBER(((NºAsuntos!I12/NºAsuntos!G12)-Datos!BE12)/Datos!BE12),((NºAsuntos!I12/NºAsuntos!G12)-Datos!BE12)/Datos!BE12," - ")</f>
        <v>3.3730413562805046E-2</v>
      </c>
      <c r="J12" s="460">
        <f>IF(ISNUMBER((('Resol  Asuntos'!D12/NºAsuntos!G12)-Datos!BF12)/Datos!BF12),(('Resol  Asuntos'!D12/NºAsuntos!G12)-Datos!BF12)/Datos!BF12," - ")</f>
        <v>0.1978775062656643</v>
      </c>
      <c r="K12" s="461">
        <f>IF(ISNUMBER((((NºAsuntos!C12+NºAsuntos!E12)/NºAsuntos!G12)-Datos!BG12)/Datos!BG12),(((NºAsuntos!C12+NºAsuntos!E12)/NºAsuntos!G12)-Datos!BG12)/Datos!BG12," - ")</f>
        <v>2.9843750000000009E-2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0.31908155186064924</v>
      </c>
      <c r="C13" s="854">
        <f>IF(ISNUMBER(
   IF(J_V="SI",(Datos!J13-Datos!T13)/Datos!T13,(Datos!J13+Datos!Z13-(Datos!T13+Datos!AH13))/(Datos!T13+Datos!AH13))
     ),IF(J_V="SI",(Datos!J13-Datos!T13)/Datos!T13,(Datos!J13+Datos!Z13-(Datos!T13+Datos!AH13))/(Datos!T13+Datos!AH13))," - ")</f>
        <v>-0.29447852760736198</v>
      </c>
      <c r="D13" s="854">
        <f>IF(ISNUMBER(
   IF(J_V="SI",(Datos!K13-Datos!U13)/Datos!U13,(Datos!K13+Datos!AA13-(Datos!U13+Datos!AI13))/(Datos!U13+Datos!AI13))
     ),IF(J_V="SI",(Datos!K13-Datos!U13)/Datos!U13,(Datos!K13+Datos!AA13-(Datos!U13+Datos!AI13))/(Datos!U13+Datos!AI13))," - ")</f>
        <v>0.18773946360153257</v>
      </c>
      <c r="E13" s="854">
        <f>IF(ISNUMBER(
   IF(J_V="SI",(Datos!L13-Datos!V13)/Datos!V13,(Datos!L13+Datos!AB13-(Datos!V13+Datos!AJ13))/(Datos!V13+Datos!AJ13))
     ),IF(J_V="SI",(Datos!L13-Datos!V13)/Datos!V13,(Datos!L13+Datos!AB13-(Datos!V13+Datos!AJ13))/(Datos!V13+Datos!AJ13))," - ")</f>
        <v>0.23449859658076039</v>
      </c>
      <c r="F13" s="855">
        <f>IF(ISNUMBER((Datos!M13-Datos!W13)/Datos!W13),(Datos!M13-Datos!W13)/Datos!W13," - ")</f>
        <v>0.79807692307692313</v>
      </c>
      <c r="G13" s="856">
        <f>IF(ISNUMBER((Datos!N13-Datos!X13)/Datos!X13),(Datos!N13-Datos!X13)/Datos!X13," - ")</f>
        <v>3.90625E-2</v>
      </c>
      <c r="H13" s="856">
        <f>IF(ISNUMBER(((NºAsuntos!G13/NºAsuntos!E13)-Datos!BD13)/Datos!BD13),((NºAsuntos!G13/NºAsuntos!E13)-Datos!BD13)/Datos!BD13," - ")</f>
        <v>0.68349158753956341</v>
      </c>
      <c r="I13" s="856">
        <f>IF(ISNUMBER(((NºAsuntos!I13/NºAsuntos!G13)-Datos!BE13)/Datos!BE13),((NºAsuntos!I13/NºAsuntos!G13)-Datos!BE13)/Datos!BE13," - ")</f>
        <v>3.9368173250253158E-2</v>
      </c>
      <c r="J13" s="856">
        <f>IF(ISNUMBER((('Resol  Asuntos'!D13/NºAsuntos!G13)-Datos!BF13)/Datos!BF13),(('Resol  Asuntos'!D13/NºAsuntos!G13)-Datos!BF13)/Datos!BF13," - ")</f>
        <v>0.22048012003000758</v>
      </c>
      <c r="K13" s="856">
        <f>IF(ISNUMBER((((NºAsuntos!C13+NºAsuntos!E13)/NºAsuntos!G13)-Datos!BG13)/Datos!BG13),(((NºAsuntos!C13+NºAsuntos!E13)/NºAsuntos!G13)-Datos!BG13)/Datos!BG13," - ")</f>
        <v>3.4740795083932033E-2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0.12453531598513011</v>
      </c>
      <c r="C16" s="455">
        <f>IF(ISNUMBER(
   IF(D_I="SI",(Datos!J16-Datos!T16)/Datos!T16,(Datos!J16+Datos!AD16-(Datos!T16+Datos!AL16))/(Datos!T16+Datos!AL16))
     ),IF(D_I="SI",(Datos!J16-Datos!T16)/Datos!T16,(Datos!J16+Datos!AD16-(Datos!T16+Datos!AL16))/(Datos!T16+Datos!AL16))," - ")</f>
        <v>0.19767441860465115</v>
      </c>
      <c r="D16" s="455">
        <f>IF(ISNUMBER(
   IF(D_I="SI",(Datos!K16-Datos!U16)/Datos!U16,(Datos!K16+Datos!AE16-(Datos!U16+Datos!AM16))/(Datos!U16+Datos!AM16))
     ),IF(D_I="SI",(Datos!K16-Datos!U16)/Datos!U16,(Datos!K16+Datos!AE16-(Datos!U16+Datos!AM16))/(Datos!U16+Datos!AM16))," - ")</f>
        <v>-0.21121251629726207</v>
      </c>
      <c r="E16" s="455">
        <f>IF(ISNUMBER(
   IF(D_I="SI",(Datos!L16-Datos!V16)/Datos!V16,(Datos!L16+Datos!AF16-(Datos!V16+Datos!AN16))/(Datos!V16+Datos!AN16))
     ),IF(D_I="SI",(Datos!L16-Datos!V16)/Datos!V16,(Datos!L16+Datos!AF16-(Datos!V16+Datos!AN16))/(Datos!V16+Datos!AN16))," - ")</f>
        <v>0.3298653610771114</v>
      </c>
      <c r="F16" s="455">
        <f>IF(ISNUMBER((Datos!M16-Datos!W16)/Datos!W16),(Datos!M16-Datos!W16)/Datos!W16," - ")</f>
        <v>0</v>
      </c>
      <c r="G16" s="456">
        <f>IF(ISNUMBER((Datos!N16-Datos!X16)/Datos!X16),(Datos!N16-Datos!X16)/Datos!X16," - ")</f>
        <v>-0.22653061224489796</v>
      </c>
      <c r="H16" s="454">
        <f>IF(ISNUMBER(((NºAsuntos!G16/NºAsuntos!E16)-Datos!BD16)/Datos!BD16),((NºAsuntos!G16/NºAsuntos!E16)-Datos!BD16)/Datos!BD16," - ")</f>
        <v>-0.34140074176276247</v>
      </c>
      <c r="I16" s="455">
        <f>IF(ISNUMBER(((NºAsuntos!I16/NºAsuntos!G16)-Datos!BE16)/Datos!BE16),((NºAsuntos!I16/NºAsuntos!G16)-Datos!BE16)/Datos!BE16," - ")</f>
        <v>0.68596154040685009</v>
      </c>
      <c r="J16" s="460">
        <f>IF(ISNUMBER((('Resol  Asuntos'!D16/NºAsuntos!G16)-Datos!BF16)/Datos!BF16),(('Resol  Asuntos'!D16/NºAsuntos!G16)-Datos!BF16)/Datos!BF16," - ")</f>
        <v>0.26776859504132217</v>
      </c>
      <c r="K16" s="461">
        <f>IF(ISNUMBER((((NºAsuntos!C16+NºAsuntos!E16)/NºAsuntos!G16)-Datos!BG16)/Datos!BG16),(((NºAsuntos!C16+NºAsuntos!E16)/NºAsuntos!G16)-Datos!BG16)/Datos!BG16," - ")</f>
        <v>0.45570414053739777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1.0333333333333334</v>
      </c>
      <c r="C17" s="455">
        <f>IF(ISNUMBER(
   IF(D_I="SI",(Datos!J17-Datos!T17)/Datos!T17,(Datos!J17+Datos!AD17-(Datos!T17+Datos!AL17))/(Datos!T17+Datos!AL17))
     ),IF(D_I="SI",(Datos!J17-Datos!T17)/Datos!T17,(Datos!J17+Datos!AD17-(Datos!T17+Datos!AL17))/(Datos!T17+Datos!AL17))," - ")</f>
        <v>-0.38666666666666666</v>
      </c>
      <c r="D17" s="455">
        <f>IF(ISNUMBER(
   IF(D_I="SI",(Datos!K17-Datos!U17)/Datos!U17,(Datos!K17+Datos!AE17-(Datos!U17+Datos!AM17))/(Datos!U17+Datos!AM17))
     ),IF(D_I="SI",(Datos!K17-Datos!U17)/Datos!U17,(Datos!K17+Datos!AE17-(Datos!U17+Datos!AM17))/(Datos!U17+Datos!AM17))," - ")</f>
        <v>-0.2</v>
      </c>
      <c r="E17" s="455">
        <f>IF(ISNUMBER(
   IF(D_I="SI",(Datos!L17-Datos!V17)/Datos!V17,(Datos!L17+Datos!AF17-(Datos!V17+Datos!AN17))/(Datos!V17+Datos!AN17))
     ),IF(D_I="SI",(Datos!L17-Datos!V17)/Datos!V17,(Datos!L17+Datos!AF17-(Datos!V17+Datos!AN17))/(Datos!V17+Datos!AN17))," - ")</f>
        <v>0.375</v>
      </c>
      <c r="F17" s="455">
        <f>IF(ISNUMBER((Datos!M17-Datos!W17)/Datos!W17),(Datos!M17-Datos!W17)/Datos!W17," - ")</f>
        <v>-0.35483870967741937</v>
      </c>
      <c r="G17" s="456">
        <f>IF(ISNUMBER((Datos!N17-Datos!X17)/Datos!X17),(Datos!N17-Datos!X17)/Datos!X17," - ")</f>
        <v>6.25E-2</v>
      </c>
      <c r="H17" s="454">
        <f>IF(ISNUMBER(((NºAsuntos!G17/NºAsuntos!E17)-Datos!BD17)/Datos!BD17),((NºAsuntos!G17/NºAsuntos!E17)-Datos!BD17)/Datos!BD17," - ")</f>
        <v>0.30434782608695637</v>
      </c>
      <c r="I17" s="455">
        <f>IF(ISNUMBER(((NºAsuntos!I17/NºAsuntos!G17)-Datos!BE17)/Datos!BE17),((NºAsuntos!I17/NºAsuntos!G17)-Datos!BE17)/Datos!BE17," - ")</f>
        <v>0.71874999999999989</v>
      </c>
      <c r="J17" s="460">
        <f>IF(ISNUMBER((('Resol  Asuntos'!D17/NºAsuntos!G17)-Datos!BF17)/Datos!BF17),(('Resol  Asuntos'!D17/NºAsuntos!G17)-Datos!BF17)/Datos!BF17," - ")</f>
        <v>-0.19354838709677419</v>
      </c>
      <c r="K17" s="461">
        <f>IF(ISNUMBER((((NºAsuntos!C17+NºAsuntos!E17)/NºAsuntos!G17)-Datos!BG17)/Datos!BG17),(((NºAsuntos!C17+NºAsuntos!E17)/NºAsuntos!G17)-Datos!BG17)/Datos!BG17," - ")</f>
        <v>0.27380952380952367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0.14111922141119221</v>
      </c>
      <c r="C18" s="854">
        <f>IF(ISNUMBER(
   IF(Criterios!B14="SI",(Datos!J18-Datos!T18)/Datos!T18,(Datos!J18+Datos!AD18-(Datos!T18+Datos!AL18))/(Datos!T18+Datos!AL18))
     ),IF(Criterios!B14="SI",(Datos!J18-Datos!T18)/Datos!T18,(Datos!J18+Datos!AD18-(Datos!T18+Datos!AL18))/(Datos!T18+Datos!AL18))," - ")</f>
        <v>0.14605418138987045</v>
      </c>
      <c r="D18" s="854">
        <f>IF(ISNUMBER(
   IF(Criterios!B14="SI",(Datos!K18-Datos!U18)/Datos!U18,(Datos!K18+Datos!AE18-(Datos!U18+Datos!AM18))/(Datos!U18+Datos!AM18))
     ),IF(Criterios!B14="SI",(Datos!K18-Datos!U18)/Datos!U18,(Datos!K18+Datos!AE18-(Datos!U18+Datos!AM18))/(Datos!U18+Datos!AM18))," - ")</f>
        <v>-0.21033653846153846</v>
      </c>
      <c r="E18" s="854">
        <f>IF(ISNUMBER(
   IF(Criterios!B14="SI",(Datos!L18-Datos!V18)/Datos!V18,(Datos!L18+Datos!AF18-(Datos!V18+Datos!AN18))/(Datos!V18+Datos!AN18))
     ),IF(Criterios!B14="SI",(Datos!L18-Datos!V18)/Datos!V18,(Datos!L18+Datos!AF18-(Datos!V18+Datos!AN18))/(Datos!V18+Datos!AN18))," - ")</f>
        <v>0.33094384707287933</v>
      </c>
      <c r="F18" s="855">
        <f>IF(ISNUMBER((Datos!M18-Datos!W18)/Datos!W18),(Datos!M18-Datos!W18)/Datos!W18," - ")</f>
        <v>-0.10091743119266056</v>
      </c>
      <c r="G18" s="856">
        <f>IF(ISNUMBER((Datos!N18-Datos!X18)/Datos!X18),(Datos!N18-Datos!X18)/Datos!X18," - ")</f>
        <v>-0.20881226053639848</v>
      </c>
      <c r="H18" s="856">
        <f>IF(ISNUMBER(((NºAsuntos!G18/NºAsuntos!E18)-Datos!BD18)/Datos!BD18),((NºAsuntos!G18/NºAsuntos!E18)-Datos!BD18)/Datos!BD18," - ")</f>
        <v>-0.31097196418689227</v>
      </c>
      <c r="I18" s="856">
        <f>IF(ISNUMBER(((NºAsuntos!I18/NºAsuntos!G18)-Datos!BE18)/Datos!BE18),((NºAsuntos!I18/NºAsuntos!G18)-Datos!BE18)/Datos!BE18," - ")</f>
        <v>0.68545704834799936</v>
      </c>
      <c r="J18" s="856">
        <f>IF(ISNUMBER((('Resol  Asuntos'!D18/NºAsuntos!G18)-Datos!BF18)/Datos!BF18),(('Resol  Asuntos'!D18/NºAsuntos!G18)-Datos!BF18)/Datos!BF18," - ")</f>
        <v>0.13856422716545866</v>
      </c>
      <c r="K18" s="856">
        <f>IF(ISNUMBER((((NºAsuntos!C18+NºAsuntos!E18)/NºAsuntos!G18)-Datos!BG18)/Datos!BG18),(((NºAsuntos!C18+NºAsuntos!E18)/NºAsuntos!G18)-Datos!BG18)/Datos!BG18," - ")</f>
        <v>0.44719857915710404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0.26523099576661147</v>
      </c>
      <c r="C19" s="801">
        <f>IF(ISNUMBER(
   IF(J_V="SI",(Datos!J19-Datos!T19)/Datos!T19,(Datos!J19+Datos!Z19-(Datos!T19+Datos!AH19))/(Datos!T19+Datos!AH19))
     ),IF(J_V="SI",(Datos!J19-Datos!T19)/Datos!T19,(Datos!J19+Datos!Z19-(Datos!T19+Datos!AH19))/(Datos!T19+Datos!AH19))," - ")</f>
        <v>-4.5303131245836112E-2</v>
      </c>
      <c r="D19" s="801">
        <f>IF(ISNUMBER(
   IF(J_V="SI",(Datos!K19-Datos!U19)/Datos!U19,(Datos!K19+Datos!AA19-(Datos!U19+Datos!AI19))/(Datos!U19+Datos!AI19))
     ),IF(J_V="SI",(Datos!K19-Datos!U19)/Datos!U19,(Datos!K19+Datos!AA19-(Datos!U19+Datos!AI19))/(Datos!U19+Datos!AI19))," - ")</f>
        <v>-5.68685376661743E-2</v>
      </c>
      <c r="E19" s="801">
        <f>IF(ISNUMBER(
   IF(J_V="SI",(Datos!L19-Datos!V19)/Datos!V19,(Datos!L19+Datos!AB19-(Datos!V19+Datos!AJ19))/(Datos!V19+Datos!AJ19))
     ),IF(J_V="SI",(Datos!L19-Datos!V19)/Datos!V19,(Datos!L19+Datos!AB19-(Datos!V19+Datos!AJ19))/(Datos!V19+Datos!AJ19))," - ")</f>
        <v>0.26336492043625959</v>
      </c>
      <c r="F19" s="802">
        <f>IF(ISNUMBER((Datos!M19-Datos!W19)/Datos!W19),(Datos!M19-Datos!W19)/Datos!W19," - ")</f>
        <v>0.3380281690140845</v>
      </c>
      <c r="G19" s="803">
        <f>IF(ISNUMBER((Datos!N19-Datos!X19)/Datos!X19),(Datos!N19-Datos!X19)/Datos!X19," - ")</f>
        <v>-0.16</v>
      </c>
      <c r="H19" s="804">
        <f>IF(ISNUMBER((Tasas!B19-Datos!BD19)/Datos!BD19),(Tasas!B19-Datos!BD19)/Datos!BD19," - ")</f>
        <v>-1.211421844865848E-2</v>
      </c>
      <c r="I19" s="805">
        <f>IF(ISNUMBER((Tasas!C19-Datos!BE19)/Datos!BE19),(Tasas!C19-Datos!BE19)/Datos!BE19," - ")</f>
        <v>0.33954275823860242</v>
      </c>
      <c r="J19" s="806">
        <f>IF(ISNUMBER((Tasas!D19-Datos!BF19)/Datos!BF19),(Tasas!D19-Datos!BF19)/Datos!BF19," - ")</f>
        <v>0.26968406783230137</v>
      </c>
      <c r="K19" s="806">
        <f>IF(ISNUMBER((Tasas!E19-Datos!BG19)/Datos!BG19),(Tasas!E19-Datos!BG19)/Datos!BG19," - ")</f>
        <v>0.27024688985013412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vBoSo6rFgpXN5y787gvVNhlATmwtD8DS/bZHOHHgBIB4MiLL20X/MR1mLAUctlZEKABcgZYzrekEwiXHNBAlg==" saltValue="RQMCJxRmz7QZ0j3AUDUj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POSADAS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0.8571428571428571</v>
      </c>
      <c r="C10" s="442">
        <f>IF(ISNUMBER(NºAsuntos!I10/NºAsuntos!G10),NºAsuntos!I10/NºAsuntos!G10," - ")</f>
        <v>1</v>
      </c>
      <c r="D10" s="443">
        <f>IF(ISNUMBER('Resol  Asuntos'!D10/NºAsuntos!G10),'Resol  Asuntos'!D10/NºAsuntos!G10," - ")</f>
        <v>0.5</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1.3632286995515694</v>
      </c>
      <c r="C12" s="442">
        <f>IF(ISNUMBER(NºAsuntos!I12/NºAsuntos!G12),NºAsuntos!I12/NºAsuntos!G12," - ")</f>
        <v>7.9375</v>
      </c>
      <c r="D12" s="443">
        <f>IF(ISNUMBER('Resol  Asuntos'!D12/NºAsuntos!G12),'Resol  Asuntos'!D12/NºAsuntos!G12," - ")</f>
        <v>0.29769736842105265</v>
      </c>
      <c r="E12" s="444">
        <f>IF(ISNUMBER((NºAsuntos!C12+NºAsuntos!E12)/NºAsuntos!G12),(NºAsuntos!C12+NºAsuntos!E12)/NºAsuntos!G12," - ")</f>
        <v>8.9375</v>
      </c>
      <c r="G12" s="462"/>
    </row>
    <row r="13" spans="1:7" ht="14.25" thickTop="1" thickBot="1">
      <c r="A13" s="847" t="str">
        <f>Datos!A13</f>
        <v>TOTAL</v>
      </c>
      <c r="B13" s="857">
        <f>IF(ISNUMBER(NºAsuntos!G13/NºAsuntos!E13),NºAsuntos!G13/NºAsuntos!E13," - ")</f>
        <v>1.3478260869565217</v>
      </c>
      <c r="C13" s="858">
        <f>IF(ISNUMBER(NºAsuntos!I13/NºAsuntos!G13),NºAsuntos!I13/NºAsuntos!G13," - ")</f>
        <v>7.8032258064516133</v>
      </c>
      <c r="D13" s="859">
        <f>IF(ISNUMBER('Resol  Asuntos'!D13/NºAsuntos!G13),'Resol  Asuntos'!D13/NºAsuntos!G13," - ")</f>
        <v>0.30161290322580647</v>
      </c>
      <c r="E13" s="860">
        <f>IF(ISNUMBER((NºAsuntos!C13+NºAsuntos!E13)/NºAsuntos!G13),(NºAsuntos!C13+NºAsuntos!E13)/NºAsuntos!G13," - ")</f>
        <v>8.8032258064516125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0.65264293419633224</v>
      </c>
      <c r="C16" s="442">
        <f>IF(ISNUMBER(NºAsuntos!I16/NºAsuntos!G16),NºAsuntos!I16/NºAsuntos!G16," - ")</f>
        <v>3.5917355371900825</v>
      </c>
      <c r="D16" s="443">
        <f>IF(ISNUMBER('Resol  Asuntos'!D16/NºAsuntos!G16),'Resol  Asuntos'!D16/NºAsuntos!G16," - ")</f>
        <v>0.12892561983471074</v>
      </c>
      <c r="E16" s="444">
        <f>IF(ISNUMBER((NºAsuntos!C16+NºAsuntos!E16)/NºAsuntos!G16),(NºAsuntos!C16+NºAsuntos!E16)/NºAsuntos!G16," - ")</f>
        <v>4.5322314049586776</v>
      </c>
      <c r="G16" s="462"/>
    </row>
    <row r="17" spans="1:7" ht="21.75" thickBot="1">
      <c r="A17" s="401" t="str">
        <f>Datos!A17</f>
        <v>Jdos. Violencia contra la mujer/Secc Viol. TI.</v>
      </c>
      <c r="B17" s="441">
        <f>IF(ISNUMBER(NºAsuntos!G17/NºAsuntos!E17),NºAsuntos!G17/NºAsuntos!E17," - ")</f>
        <v>1.1304347826086956</v>
      </c>
      <c r="C17" s="442">
        <f>IF(ISNUMBER(NºAsuntos!I17/NºAsuntos!G17),NºAsuntos!I17/NºAsuntos!G17," - ")</f>
        <v>1.0576923076923077</v>
      </c>
      <c r="D17" s="443">
        <f>IF(ISNUMBER('Resol  Asuntos'!D17/NºAsuntos!G17),'Resol  Asuntos'!D17/NºAsuntos!G17," - ")</f>
        <v>0.38461538461538464</v>
      </c>
      <c r="E17" s="444">
        <f>IF(ISNUMBER((NºAsuntos!C17+NºAsuntos!E17)/NºAsuntos!G17),(NºAsuntos!C17+NºAsuntos!E17)/NºAsuntos!G17," - ")</f>
        <v>2.0576923076923075</v>
      </c>
      <c r="G17" s="462"/>
    </row>
    <row r="18" spans="1:7" ht="14.25" thickTop="1" thickBot="1">
      <c r="A18" s="847" t="str">
        <f>Datos!A18</f>
        <v>TOTAL</v>
      </c>
      <c r="B18" s="857">
        <f>IF(ISNUMBER(NºAsuntos!G18/NºAsuntos!E18),NºAsuntos!G18/NºAsuntos!E18," - ")</f>
        <v>0.67523124357656727</v>
      </c>
      <c r="C18" s="858">
        <f>IF(ISNUMBER(NºAsuntos!I18/NºAsuntos!G18),NºAsuntos!I18/NºAsuntos!G18," - ")</f>
        <v>3.39117199391172</v>
      </c>
      <c r="D18" s="861">
        <f>IF(ISNUMBER('Resol  Asuntos'!D18/NºAsuntos!G18),'Resol  Asuntos'!D18/NºAsuntos!G18," - ")</f>
        <v>0.14916286149162861</v>
      </c>
      <c r="E18" s="860">
        <f>IF(ISNUMBER((NºAsuntos!C18+NºAsuntos!E18)/NºAsuntos!G18),(NºAsuntos!C18+NºAsuntos!E18)/NºAsuntos!G18," - ")</f>
        <v>4.3363774733637745</v>
      </c>
      <c r="G18" s="462"/>
    </row>
    <row r="19" spans="1:7" ht="15.75" customHeight="1" thickTop="1" thickBot="1">
      <c r="A19" s="792" t="str">
        <f>Datos!A19</f>
        <v>TOTAL JURISDICCIONES</v>
      </c>
      <c r="B19" s="807">
        <f>IF(ISNUMBER(NºAsuntos!G19/NºAsuntos!E19),NºAsuntos!G19/NºAsuntos!E19," - ")</f>
        <v>0.89113747383112352</v>
      </c>
      <c r="C19" s="808">
        <f>IF(ISNUMBER(NºAsuntos!I19/NºAsuntos!G19),NºAsuntos!I19/NºAsuntos!G19," - ")</f>
        <v>5.5332811276429128</v>
      </c>
      <c r="D19" s="809">
        <f>IF(ISNUMBER('Resol  Asuntos'!D19/NºAsuntos!G19),'Resol  Asuntos'!D19/NºAsuntos!G19," - ")</f>
        <v>0.22317932654659359</v>
      </c>
      <c r="E19" s="810">
        <f>IF(ISNUMBER((NºAsuntos!C19+NºAsuntos!E19)/NºAsuntos!G19),(NºAsuntos!C19+NºAsuntos!E19)/NºAsuntos!G19," - ")</f>
        <v>6.5050900548159749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TlkhaEqBhlMAtRH93B8rPvsJXO/unrldirpNAK9eFIwHbNIP+pRoBrmII2zr4MgAockWhJyOZvv+iRnYtUonQ==" saltValue="l5uf8Xaxe4ehnnAOBGf1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POSADAS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18</v>
      </c>
      <c r="Y10" s="333">
        <f t="shared" ref="Y10:Y12" si="0">SUM(W10:X10)</f>
        <v>30</v>
      </c>
      <c r="Z10" s="334" t="str">
        <f>IF(ISNUMBER(Datos!CC10),Datos!CC10," - ")</f>
        <v xml:space="preserve"> - </v>
      </c>
      <c r="AA10" s="331">
        <f>IF(ISNUMBER(Datos!L10),Datos!L10,"-")</f>
        <v>12</v>
      </c>
      <c r="AB10" s="333">
        <f>IF(ISNUMBER(Datos!R10),Datos!R10," - ")</f>
        <v>48</v>
      </c>
      <c r="AC10" s="333">
        <f t="shared" ref="AC10:AC12" si="1">IF(ISNUMBER(AA10+AB10),AA10+AB10," - ")</f>
        <v>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0.8571428571428571</v>
      </c>
      <c r="AM10" s="259">
        <f>IF(ISNUMBER(((NºAsuntos!I10/NºAsuntos!G10)*11)/factor_trimestre),((NºAsuntos!I10/NºAsuntos!G10)*11)/factor_trimestre," - ")</f>
        <v>2</v>
      </c>
      <c r="AN10" s="243">
        <f>IF(ISNUMBER('Resol  Asuntos'!D10/NºAsuntos!G10),'Resol  Asuntos'!D10/NºAsuntos!G10," - ")</f>
        <v>0.5</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v>
      </c>
      <c r="Y12" s="333">
        <f t="shared" si="0"/>
        <v>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181</v>
      </c>
      <c r="AJ12" s="228" t="str">
        <f>IF(ISNUMBER(Datos!BW12),Datos!BW12," - ")</f>
        <v xml:space="preserve"> - </v>
      </c>
      <c r="AK12" s="227" t="str">
        <f>IF(ISNUMBER(Datos!BX12),Datos!BX12," - ")</f>
        <v xml:space="preserve"> - </v>
      </c>
      <c r="AL12" s="242">
        <f>IF(ISNUMBER(NºAsuntos!G12/NºAsuntos!E12),NºAsuntos!G12/NºAsuntos!E12," - ")</f>
        <v>1.3632286995515694</v>
      </c>
      <c r="AM12" s="259">
        <f>IF(ISNUMBER(((NºAsuntos!I12/NºAsuntos!G12)*11)/factor_trimestre),((NºAsuntos!I12/NºAsuntos!G12)*11)/factor_trimestre," - ")</f>
        <v>15.875</v>
      </c>
      <c r="AN12" s="243">
        <f>IF(ISNUMBER('Resol  Asuntos'!D12/NºAsuntos!G12),'Resol  Asuntos'!D12/NºAsuntos!G12," - ")</f>
        <v>0.29769736842105265</v>
      </c>
      <c r="AO12" s="244">
        <f>IF(ISNUMBER((NºAsuntos!C12+NºAsuntos!E12)/NºAsuntos!G12),(NºAsuntos!C12+NºAsuntos!E12)/NºAsuntos!G12," - ")</f>
        <v>8.9375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10</v>
      </c>
      <c r="G13" s="865">
        <f t="shared" si="3"/>
        <v>10</v>
      </c>
      <c r="H13" s="864">
        <f t="shared" si="3"/>
        <v>0</v>
      </c>
      <c r="I13" s="866">
        <f t="shared" si="3"/>
        <v>0</v>
      </c>
      <c r="J13" s="866">
        <f t="shared" si="3"/>
        <v>0</v>
      </c>
      <c r="K13" s="866">
        <f t="shared" si="3"/>
        <v>0</v>
      </c>
      <c r="L13" s="866">
        <f t="shared" si="3"/>
        <v>222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54</v>
      </c>
      <c r="Y13" s="867">
        <f t="shared" si="4"/>
        <v>66</v>
      </c>
      <c r="Z13" s="867">
        <f t="shared" si="4"/>
        <v>0</v>
      </c>
      <c r="AA13" s="867">
        <f t="shared" si="4"/>
        <v>12</v>
      </c>
      <c r="AB13" s="867">
        <f t="shared" si="4"/>
        <v>3402</v>
      </c>
      <c r="AC13" s="867">
        <f t="shared" si="4"/>
        <v>60</v>
      </c>
      <c r="AD13" s="867">
        <f t="shared" si="4"/>
        <v>0</v>
      </c>
      <c r="AE13" s="871">
        <f t="shared" si="4"/>
        <v>0</v>
      </c>
      <c r="AF13" s="864">
        <f t="shared" si="4"/>
        <v>0</v>
      </c>
      <c r="AG13" s="872">
        <f t="shared" si="4"/>
        <v>0</v>
      </c>
      <c r="AH13" s="869">
        <f t="shared" si="4"/>
        <v>0</v>
      </c>
      <c r="AI13" s="864">
        <f t="shared" si="4"/>
        <v>187</v>
      </c>
      <c r="AJ13" s="866">
        <f t="shared" si="4"/>
        <v>0</v>
      </c>
      <c r="AK13" s="869">
        <f>SUBTOTAL(9,AK9:AK12)</f>
        <v>0</v>
      </c>
      <c r="AL13" s="873">
        <f>IF(ISNUMBER(NºAsuntos!G13/NºAsuntos!E13),NºAsuntos!G13/NºAsuntos!E13," - ")</f>
        <v>1.3478260869565217</v>
      </c>
      <c r="AM13" s="873">
        <f>IF(ISNUMBER(((NºAsuntos!I13/NºAsuntos!G13)*11)/factor_trimestre),((NºAsuntos!I13/NºAsuntos!G13)*11)/factor_trimestre," - ")</f>
        <v>15.606451612903227</v>
      </c>
      <c r="AN13" s="874">
        <f>IF(ISNUMBER('Resol  Asuntos'!D13/NºAsuntos!G13),'Resol  Asuntos'!D13/NºAsuntos!G13," - ")</f>
        <v>0.30161290322580647</v>
      </c>
      <c r="AO13" s="875">
        <f>IF(ISNUMBER((NºAsuntos!C13+NºAsuntos!E13)/NºAsuntos!G13),(NºAsuntos!C13+NºAsuntos!E13)/NºAsuntos!G13," - ")</f>
        <v>8.8032258064516125</v>
      </c>
      <c r="AP13" s="876" t="str">
        <f t="shared" si="2"/>
        <v xml:space="preserve"> - </v>
      </c>
      <c r="AQ13" s="876">
        <f>IF(ISNUMBER((H13-W13+K13)/(F13)),(H13-W13+K13)/(F13)," - ")</f>
        <v>-1.2</v>
      </c>
      <c r="AR13" s="877">
        <f>IF(ISNUMBER((Datos!P13-Datos!Q13)/(Datos!R13-Datos!P13+Datos!Q13)),(Datos!P13-Datos!Q13)/(Datos!R13-Datos!P13+Datos!Q13)," - ")</f>
        <v>5.1948051948051951E-2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1851</v>
      </c>
      <c r="G16" s="332">
        <f>IF(ISNUMBER(IF(D_I="SI",Datos!I16,Datos!I16+Datos!AC16)),IF(D_I="SI",Datos!I16,Datos!I16+Datos!AC16)," - ")</f>
        <v>1815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605</v>
      </c>
      <c r="X16" s="225">
        <f>IF(ISNUMBER(Datos!Q16),Datos!Q16," - ")</f>
        <v>8</v>
      </c>
      <c r="Y16" s="333">
        <f t="shared" ref="Y16:Y17" si="7">SUM(W16:X16)</f>
        <v>613</v>
      </c>
      <c r="Z16" s="334" t="str">
        <f>IF(ISNUMBER(Datos!CC16),Datos!CC16," - ")</f>
        <v xml:space="preserve"> - </v>
      </c>
      <c r="AA16" s="331">
        <f>IF(ISNUMBER(IF(D_I="SI",Datos!L16,Datos!L16+Datos!AF16)),IF(D_I="SI",Datos!L16,Datos!L16+Datos!AF16)," - ")</f>
        <v>2173</v>
      </c>
      <c r="AB16" s="333">
        <f>IF(ISNUMBER(Datos!R16),Datos!R16," - ")</f>
        <v>134</v>
      </c>
      <c r="AC16" s="333">
        <f t="shared" si="6"/>
        <v>2307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78</v>
      </c>
      <c r="AJ16" s="230" t="str">
        <f>IF(ISNUMBER(Datos!BW16),Datos!BW16," - ")</f>
        <v xml:space="preserve"> - </v>
      </c>
      <c r="AK16" s="231" t="str">
        <f>IF(ISNUMBER(Datos!BX16),Datos!BX16," - ")</f>
        <v xml:space="preserve"> - </v>
      </c>
      <c r="AL16" s="242">
        <f>IF(ISNUMBER(NºAsuntos!G16/NºAsuntos!E16),NºAsuntos!G16/NºAsuntos!E16," - ")</f>
        <v>0.65264293419633224</v>
      </c>
      <c r="AM16" s="259">
        <f>IF(ISNUMBER(((NºAsuntos!I16/NºAsuntos!G16)*11)/factor_trimestre),((NºAsuntos!I16/NºAsuntos!G16)*11)/factor_trimestre," - ")</f>
        <v>7.1834710743801651</v>
      </c>
      <c r="AN16" s="243">
        <f>IF(ISNUMBER('Resol  Asuntos'!D16/NºAsuntos!G16),'Resol  Asuntos'!D16/NºAsuntos!G16," - ")</f>
        <v>0.12892561983471074</v>
      </c>
      <c r="AO16" s="244">
        <f>IF(ISNUMBER((NºAsuntos!C16+NºAsuntos!E16)/NºAsuntos!G16),(NºAsuntos!C16+NºAsuntos!E16)/NºAsuntos!G16," - ")</f>
        <v>4.5322314049586776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v>
      </c>
      <c r="X17" s="225">
        <f>IF(ISNUMBER(Datos!Q17),Datos!Q17," - ")</f>
        <v>5</v>
      </c>
      <c r="Y17" s="333">
        <f t="shared" si="7"/>
        <v>57</v>
      </c>
      <c r="Z17" s="334" t="str">
        <f>IF(ISNUMBER(Datos!CC17),Datos!CC17," - ")</f>
        <v xml:space="preserve"> - </v>
      </c>
      <c r="AA17" s="331">
        <f>IF(ISNUMBER(Datos!L17),Datos!L17,"-")</f>
        <v>55</v>
      </c>
      <c r="AB17" s="333">
        <f>IF(ISNUMBER(Datos!R17),Datos!R17," - ")</f>
        <v>7</v>
      </c>
      <c r="AC17" s="333">
        <f t="shared" si="6"/>
        <v>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1.1304347826086956</v>
      </c>
      <c r="AM17" s="259">
        <f>IF(ISNUMBER(((NºAsuntos!I17/NºAsuntos!G17)*11)/factor_trimestre),((NºAsuntos!I17/NºAsuntos!G17)*11)/factor_trimestre," - ")</f>
        <v>2.1153846153846154</v>
      </c>
      <c r="AN17" s="243">
        <f>IF(ISNUMBER('Resol  Asuntos'!D17/NºAsuntos!G17),'Resol  Asuntos'!D17/NºAsuntos!G17," - ")</f>
        <v>0.38461538461538464</v>
      </c>
      <c r="AO17" s="244">
        <f>IF(ISNUMBER((NºAsuntos!C17+NºAsuntos!E17)/NºAsuntos!G17),(NºAsuntos!C17+NºAsuntos!E17)/NºAsuntos!G17," - ")</f>
        <v>2.0576923076923075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1851</v>
      </c>
      <c r="G18" s="865">
        <f>SUBTOTAL(9,G15:G17)</f>
        <v>1876</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657</v>
      </c>
      <c r="X18" s="866">
        <f t="shared" si="11"/>
        <v>13</v>
      </c>
      <c r="Y18" s="867">
        <f t="shared" si="11"/>
        <v>670</v>
      </c>
      <c r="Z18" s="867">
        <f t="shared" si="11"/>
        <v>0</v>
      </c>
      <c r="AA18" s="867">
        <f t="shared" si="11"/>
        <v>2228</v>
      </c>
      <c r="AB18" s="867">
        <f t="shared" si="11"/>
        <v>141</v>
      </c>
      <c r="AC18" s="867">
        <f t="shared" si="11"/>
        <v>2369</v>
      </c>
      <c r="AD18" s="867">
        <f t="shared" si="11"/>
        <v>0</v>
      </c>
      <c r="AE18" s="871">
        <f t="shared" si="11"/>
        <v>0</v>
      </c>
      <c r="AF18" s="864">
        <f t="shared" si="11"/>
        <v>0</v>
      </c>
      <c r="AG18" s="872">
        <f t="shared" si="11"/>
        <v>0</v>
      </c>
      <c r="AH18" s="869">
        <f t="shared" si="11"/>
        <v>0</v>
      </c>
      <c r="AI18" s="864">
        <f t="shared" si="11"/>
        <v>98</v>
      </c>
      <c r="AJ18" s="866">
        <f t="shared" si="11"/>
        <v>0</v>
      </c>
      <c r="AK18" s="869">
        <f t="shared" si="11"/>
        <v>0</v>
      </c>
      <c r="AL18" s="873">
        <f>IF(ISNUMBER(NºAsuntos!G18/NºAsuntos!E18),NºAsuntos!G18/NºAsuntos!E18," - ")</f>
        <v>0.67523124357656727</v>
      </c>
      <c r="AM18" s="873">
        <f>IF(ISNUMBER(((NºAsuntos!I18/NºAsuntos!G18)*11)/factor_trimestre),((NºAsuntos!I18/NºAsuntos!G18)*11)/factor_trimestre," - ")</f>
        <v>6.7823439878234391</v>
      </c>
      <c r="AN18" s="874">
        <f>IF(ISNUMBER('Resol  Asuntos'!D18/NºAsuntos!G18),'Resol  Asuntos'!D18/NºAsuntos!G18," - ")</f>
        <v>0.14916286149162861</v>
      </c>
      <c r="AO18" s="875">
        <f>IF(ISNUMBER((NºAsuntos!C18+NºAsuntos!E18)/NºAsuntos!G18),(NºAsuntos!C18+NºAsuntos!E18)/NºAsuntos!G18," - ")</f>
        <v>4.3363774733637745</v>
      </c>
      <c r="AP18" s="876" t="str">
        <f t="shared" si="2"/>
        <v xml:space="preserve"> - </v>
      </c>
      <c r="AQ18" s="876">
        <f>IF(ISNUMBER((H18-W18+K18)/(F18)),(H18-W18+K18)/(F18)," - ")</f>
        <v>-0.35494327390599678</v>
      </c>
      <c r="AR18" s="877">
        <f>IF(ISNUMBER((Datos!P18-Datos!Q18)/(Datos!R18-Datos!P18+Datos!Q18)),(Datos!P18-Datos!Q18)/(Datos!R18-Datos!P18+Datos!Q18)," - ")</f>
        <v>0.1015625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1861</v>
      </c>
      <c r="G19" s="820">
        <f t="shared" si="13"/>
        <v>1886</v>
      </c>
      <c r="H19" s="819">
        <f t="shared" si="13"/>
        <v>0</v>
      </c>
      <c r="I19" s="821">
        <f t="shared" si="13"/>
        <v>0</v>
      </c>
      <c r="J19" s="821">
        <f t="shared" si="13"/>
        <v>0</v>
      </c>
      <c r="K19" s="880">
        <f t="shared" si="13"/>
        <v>0</v>
      </c>
      <c r="L19" s="821">
        <f t="shared" si="13"/>
        <v>248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669</v>
      </c>
      <c r="X19" s="820">
        <f t="shared" si="14"/>
        <v>67</v>
      </c>
      <c r="Y19" s="827">
        <f t="shared" si="14"/>
        <v>736</v>
      </c>
      <c r="Z19" s="827">
        <f t="shared" si="14"/>
        <v>0</v>
      </c>
      <c r="AA19" s="827">
        <f t="shared" si="14"/>
        <v>2240</v>
      </c>
      <c r="AB19" s="827">
        <f t="shared" si="14"/>
        <v>3543</v>
      </c>
      <c r="AC19" s="827">
        <f t="shared" si="14"/>
        <v>2429</v>
      </c>
      <c r="AD19" s="827">
        <f t="shared" si="14"/>
        <v>0</v>
      </c>
      <c r="AE19" s="829">
        <f t="shared" si="14"/>
        <v>0</v>
      </c>
      <c r="AF19" s="830">
        <f t="shared" si="14"/>
        <v>0</v>
      </c>
      <c r="AG19" s="831">
        <f t="shared" si="14"/>
        <v>0</v>
      </c>
      <c r="AH19" s="829">
        <f t="shared" si="14"/>
        <v>0</v>
      </c>
      <c r="AI19" s="819">
        <f t="shared" si="14"/>
        <v>285</v>
      </c>
      <c r="AJ19" s="819">
        <f t="shared" si="14"/>
        <v>0</v>
      </c>
      <c r="AK19" s="829">
        <f t="shared" si="14"/>
        <v>0</v>
      </c>
      <c r="AL19" s="883">
        <f>IF(ISNUMBER(NºAsuntos!G19/NºAsuntos!E19),NºAsuntos!G19/NºAsuntos!E19," - ")</f>
        <v>0.89113747383112352</v>
      </c>
      <c r="AM19" s="884">
        <f>IF(ISNUMBER(((NºAsuntos!I19/NºAsuntos!G19)*11)/factor_trimestre),((NºAsuntos!I19/NºAsuntos!G19)*11)/factor_trimestre," - ")</f>
        <v>11.066562255285826</v>
      </c>
      <c r="AN19" s="884">
        <f>IF(ISNUMBER('Resol  Asuntos'!D19/NºAsuntos!G19),'Resol  Asuntos'!D19/NºAsuntos!G19," - ")</f>
        <v>0.22317932654659359</v>
      </c>
      <c r="AO19" s="885">
        <f>IF(ISNUMBER((NºAsuntos!C19+NºAsuntos!E19)/NºAsuntos!G19),(NºAsuntos!C19+NºAsuntos!E19)/NºAsuntos!G19," - ")</f>
        <v>6.5050900548159749</v>
      </c>
      <c r="AP19" s="886" t="str">
        <f t="shared" si="2"/>
        <v xml:space="preserve"> - </v>
      </c>
      <c r="AQ19" s="887">
        <f>IF(OR(ISNUMBER(FIND("01",Criterios!A8,1)),ISNUMBER(FIND("02",Criterios!A8,1)),ISNUMBER(FIND("03",Criterios!A8,1)),ISNUMBER(FIND("04",Criterios!A8,1))),(I19-W19+K19)/(F19-K19),(H19-W19+K19)/(F19-K19))</f>
        <v>-0.35948414830736164</v>
      </c>
      <c r="AR19" s="888">
        <f>IF(ISNUMBER((Datos!P19-Datos!Q19)/(Datos!R19-Datos!P19+Datos!Q19)),(Datos!P19-Datos!Q19)/(Datos!R19-Datos!P19+Datos!Q19)," - ")</f>
        <v>5.3837001784651992E-2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754.4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1062.9018455781011</v>
      </c>
      <c r="G21" s="252">
        <f>IF(ISNUMBER(STDEV(G8:G18)),STDEV(G8:G18),"-")</f>
        <v>996.48447052625966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332.64741093235642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77.076585290216386</v>
      </c>
      <c r="AJ21" s="251">
        <f t="shared" si="18"/>
        <v>0</v>
      </c>
      <c r="AK21" s="253">
        <f t="shared" si="18"/>
        <v>0</v>
      </c>
      <c r="AL21" s="248">
        <f t="shared" si="18"/>
        <v>0.32135775921172188</v>
      </c>
      <c r="AM21" s="249">
        <f t="shared" si="18"/>
        <v>6.2007234283112682</v>
      </c>
      <c r="AN21" s="249">
        <f t="shared" si="18"/>
        <v>0.14067371123354114</v>
      </c>
      <c r="AO21" s="250">
        <f t="shared" si="18"/>
        <v>3.1051781104898106</v>
      </c>
      <c r="AP21" s="290" t="str">
        <f t="shared" si="18"/>
        <v>-</v>
      </c>
      <c r="AQ21" s="291">
        <f t="shared" si="18"/>
        <v>0.59754534150837268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E7BuAsrgAzCgVpVVk7U7IQuN/9tzUFYfS8JBOopKBAVtwwKIdJTA2C+IEJrtRQU2Iu2TZYySvFjWTXIZsLQrZw==" saltValue="mx7bin4aRxOp7JJ227LD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POSADAS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-0.62962962962962965</v>
      </c>
      <c r="E10" s="347">
        <f>IF(ISNUMBER((Datos!J10-Datos!T10)/Datos!T10),(Datos!J10-Datos!T10)/Datos!T10," - ")</f>
        <v>0</v>
      </c>
      <c r="F10" s="347">
        <f>IF(ISNUMBER((Datos!K10-Datos!U10)/Datos!U10),(Datos!K10-Datos!U10)/Datos!U10," - ")</f>
        <v>-0.2</v>
      </c>
      <c r="G10" s="348">
        <f>IF(ISNUMBER((Datos!L10-Datos!V10)/Datos!V10),(Datos!L10-Datos!V10)/Datos!V10," - ")</f>
        <v>-0.53846153846153844</v>
      </c>
      <c r="H10" s="229">
        <f>IF(ISNUMBER((Datos!M10-Datos!W10)/Datos!W10),(Datos!M10-Datos!W10)/Datos!W10," - ")</f>
        <v>1</v>
      </c>
      <c r="I10" s="349">
        <f>IF(ISNUMBER((Tasas!C10-Datos!BE10)/Datos!BE10),(Tasas!C10-Datos!BE10)/Datos!BE10," - ")</f>
        <v>-0.42307692307692307</v>
      </c>
      <c r="J10" s="348">
        <f>IF(ISNUMBER((Tasas!D10-Datos!BF10)/Datos!BF10),(Tasas!D10-Datos!BF10)/Datos!BF10," - ")</f>
        <v>1.4999999999999998</v>
      </c>
      <c r="K10" s="350">
        <f>IF(ISNUMBER((Tasas!E10-Datos!BG10)/Datos!BG10),(Tasas!E10-Datos!BG10)/Datos!BG10," - ")</f>
        <v>-0.26829268292682928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0.79207920792079212</v>
      </c>
      <c r="I12" s="349">
        <f>IF(ISNUMBER((Tasas!C12-Datos!BE12)/Datos!BE12),(Tasas!C12-Datos!BE12)/Datos!BE12," - ")</f>
        <v>3.3730413562805046E-2</v>
      </c>
      <c r="J12" s="348">
        <f>IF(ISNUMBER((Tasas!D12-Datos!BF12)/Datos!BF12),(Tasas!D12-Datos!BF12)/Datos!BF12," - ")</f>
        <v>0.1978775062656643</v>
      </c>
      <c r="K12" s="350">
        <f>IF(ISNUMBER((Tasas!E12-Datos!BG12)/Datos!BG12),(Tasas!E12-Datos!BG12)/Datos!BG12," - ")</f>
        <v>2.9843750000000009E-2</v>
      </c>
      <c r="M12" t="e">
        <f>IF(Monitorios="SI",Datos!CE12,0)</f>
        <v>#REF!</v>
      </c>
      <c r="N12" t="e">
        <f>IF(Monitorios="SI",Datos!CF12,0)</f>
        <v>#REF!</v>
      </c>
      <c r="O12" t="e">
        <f>IF(Monitorios="SI",Datos!CG12,0)</f>
        <v>#REF!</v>
      </c>
      <c r="P12" t="e">
        <f>IF(Monitorios="SI",Datos!CH12,0)</f>
        <v>#REF!</v>
      </c>
      <c r="Q12">
        <f>IF(J_V="SI",0,Datos!AG12)</f>
        <v>171</v>
      </c>
      <c r="R12">
        <f>IF(J_V="SI",0,Datos!AH12)</f>
        <v>43</v>
      </c>
      <c r="S12">
        <f>IF(J_V="SI",0,Datos!AI12)</f>
        <v>35</v>
      </c>
      <c r="T12">
        <f>IF(J_V="SI",0,Datos!AJ12)</f>
        <v>179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0.79807692307692313</v>
      </c>
      <c r="I13" s="356">
        <f>IF(ISNUMBER((Tasas!C13-Datos!BE13)/Datos!BE13),(Tasas!C13-Datos!BE13)/Datos!BE13," - ")</f>
        <v>3.9368173250253158E-2</v>
      </c>
      <c r="J13" s="354">
        <f>IF(ISNUMBER((Tasas!D13-Datos!BF13)/Datos!BF13),(Tasas!D13-Datos!BF13)/Datos!BF13," - ")</f>
        <v>0.22048012003000758</v>
      </c>
      <c r="K13" s="357">
        <f>IF(ISNUMBER((Tasas!E13-Datos!BG13)/Datos!BG13),(Tasas!E13-Datos!BG13)/Datos!BG13," - ")</f>
        <v>3.4740795083932033E-2</v>
      </c>
      <c r="M13" t="e">
        <f>IF(Monitorios="SI",Datos!CE13,0)</f>
        <v>#REF!</v>
      </c>
      <c r="N13" t="e">
        <f>IF(Monitorios="SI",Datos!CF13,0)</f>
        <v>#REF!</v>
      </c>
      <c r="O13" t="e">
        <f>IF(Monitorios="SI",Datos!CG13,0)</f>
        <v>#REF!</v>
      </c>
      <c r="P13" t="e">
        <f>IF(Monitorios="SI",Datos!CH13,0)</f>
        <v>#REF!</v>
      </c>
      <c r="Q13">
        <f>IF(J_V="SI",0,Datos!AG13)</f>
        <v>171</v>
      </c>
      <c r="R13">
        <f>IF(J_V="SI",0,Datos!AH13)</f>
        <v>43</v>
      </c>
      <c r="S13">
        <f>IF(J_V="SI",0,Datos!AI13)</f>
        <v>35</v>
      </c>
      <c r="T13">
        <f>IF(J_V="SI",0,Datos!AJ13)</f>
        <v>179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0.12453531598513011</v>
      </c>
      <c r="E16" s="347">
        <f>IF(ISNUMBER(
   IF(D_I="SI",(Datos!J16-Datos!T16)/Datos!T16,(Datos!J16+Datos!AD16-(Datos!T16+Datos!AL16))/(Datos!T16+Datos!AL16))
     ),IF(D_I="SI",(Datos!J16-Datos!T16)/Datos!T16,(Datos!J16+Datos!AD16-(Datos!T16+Datos!AL16))/(Datos!T16+Datos!AL16))," - ")</f>
        <v>0.19767441860465115</v>
      </c>
      <c r="F16" s="347">
        <f>IF(ISNUMBER(
   IF(D_I="SI",(Datos!K16-Datos!U16)/Datos!U16,(Datos!K16+Datos!AE16-(Datos!U16+Datos!AM16))/(Datos!U16+Datos!AM16))
     ),IF(D_I="SI",(Datos!K16-Datos!U16)/Datos!U16,(Datos!K16+Datos!AE16-(Datos!U16+Datos!AM16))/(Datos!U16+Datos!AM16))," - ")</f>
        <v>-0.21121251629726207</v>
      </c>
      <c r="G16" s="348">
        <f>IF(ISNUMBER(
   IF(D_I="SI",(Datos!L16-Datos!V16)/Datos!V16,(Datos!L16+Datos!AF16-(Datos!V16+Datos!AN16))/(Datos!V16+Datos!AN16))
     ),IF(D_I="SI",(Datos!L16-Datos!V16)/Datos!V16,(Datos!L16+Datos!AF16-(Datos!V16+Datos!AN16))/(Datos!V16+Datos!AN16))," - ")</f>
        <v>0.3298653610771114</v>
      </c>
      <c r="H16" s="229">
        <f>IF(ISNUMBER((Datos!M16-Datos!W16)/Datos!W16),(Datos!M16-Datos!W16)/Datos!W16," - ")</f>
        <v>0</v>
      </c>
      <c r="I16" s="349">
        <f>IF(ISNUMBER((Tasas!C16-Datos!BE16)/Datos!BE16),(Tasas!C16-Datos!BE16)/Datos!BE16," - ")</f>
        <v>0.68596154040685009</v>
      </c>
      <c r="J16" s="348">
        <f>IF(ISNUMBER((Tasas!D16-Datos!BF16)/Datos!BF16),(Tasas!D16-Datos!BF16)/Datos!BF16," - ")</f>
        <v>0.26776859504132217</v>
      </c>
      <c r="K16" s="350">
        <f>IF(ISNUMBER((Tasas!E16-Datos!BG16)/Datos!BG16),(Tasas!E16-Datos!BG16)/Datos!BG16," - ")</f>
        <v>0.45570414053739777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1.0333333333333334</v>
      </c>
      <c r="E17" s="347">
        <f>IF(ISNUMBER(
   IF(D_I="SI",(Datos!J17-Datos!T17)/Datos!T17,(Datos!J17+Datos!AD17-(Datos!T17+Datos!AL17))/(Datos!T17+Datos!AL17))
     ),IF(D_I="SI",(Datos!J17-Datos!T17)/Datos!T17,(Datos!J17+Datos!AD17-(Datos!T17+Datos!AL17))/(Datos!T17+Datos!AL17))," - ")</f>
        <v>-0.38666666666666666</v>
      </c>
      <c r="F17" s="347">
        <f>IF(ISNUMBER(
   IF(D_I="SI",(Datos!K17-Datos!U17)/Datos!U17,(Datos!K17+Datos!AE17-(Datos!U17+Datos!AM17))/(Datos!U17+Datos!AM17))
     ),IF(D_I="SI",(Datos!K17-Datos!U17)/Datos!U17,(Datos!K17+Datos!AE17-(Datos!U17+Datos!AM17))/(Datos!U17+Datos!AM17))," - ")</f>
        <v>-0.2</v>
      </c>
      <c r="G17" s="348">
        <f>IF(ISNUMBER(
   IF(D_I="SI",(Datos!L17-Datos!V17)/Datos!V17,(Datos!L17+Datos!AF17-(Datos!V17+Datos!AN17))/(Datos!V17+Datos!AN17))
     ),IF(D_I="SI",(Datos!L17-Datos!V17)/Datos!V17,(Datos!L17+Datos!AF17-(Datos!V17+Datos!AN17))/(Datos!V17+Datos!AN17))," - ")</f>
        <v>0.375</v>
      </c>
      <c r="H17" s="229">
        <f>IF(ISNUMBER((Datos!M17-Datos!W17)/Datos!W17),(Datos!M17-Datos!W17)/Datos!W17," - ")</f>
        <v>-0.35483870967741937</v>
      </c>
      <c r="I17" s="349">
        <f>IF(ISNUMBER((Tasas!C17-Datos!BE17)/Datos!BE17),(Tasas!C17-Datos!BE17)/Datos!BE17," - ")</f>
        <v>0.71874999999999989</v>
      </c>
      <c r="J17" s="348">
        <f>IF(ISNUMBER((Tasas!D17-Datos!BF17)/Datos!BF17),(Tasas!D17-Datos!BF17)/Datos!BF17," - ")</f>
        <v>-0.19354838709677419</v>
      </c>
      <c r="K17" s="350">
        <f>IF(ISNUMBER((Tasas!E17-Datos!BG17)/Datos!BG17),(Tasas!E17-Datos!BG17)/Datos!BG17," - ")</f>
        <v>0.27380952380952367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0.14111922141119221</v>
      </c>
      <c r="E18" s="353">
        <f>IF(ISNUMBER(
   IF(D_I="SI",(Datos!J18-Datos!T18)/Datos!T18,(Datos!J18+Datos!AD18-(Datos!T18+Datos!AL18))/(Datos!T18+Datos!AL18))
     ),IF(D_I="SI",(Datos!J18-Datos!T18)/Datos!T18,(Datos!J18+Datos!AD18-(Datos!T18+Datos!AL18))/(Datos!T18+Datos!AL18))," - ")</f>
        <v>0.14605418138987045</v>
      </c>
      <c r="F18" s="353">
        <f>IF(ISNUMBER(
   IF(D_I="SI",(Datos!K18-Datos!U18)/Datos!U18,(Datos!K18+Datos!AE18-(Datos!U18+Datos!AM18))/(Datos!U18+Datos!AM18))
     ),IF(D_I="SI",(Datos!K18-Datos!U18)/Datos!U18,(Datos!K18+Datos!AE18-(Datos!U18+Datos!AM18))/(Datos!U18+Datos!AM18))," - ")</f>
        <v>-0.21033653846153846</v>
      </c>
      <c r="G18" s="354">
        <f>IF(ISNUMBER(
   IF(D_I="SI",(Datos!L18-Datos!V18)/Datos!V18,(Datos!L18+Datos!AF18-(Datos!V18+Datos!AN18))/(Datos!V18+Datos!AN18))
     ),IF(D_I="SI",(Datos!L18-Datos!V18)/Datos!V18,(Datos!L18+Datos!AF18-(Datos!V18+Datos!AN18))/(Datos!V18+Datos!AN18))," - ")</f>
        <v>0.33094384707287933</v>
      </c>
      <c r="H18" s="355">
        <f>IF(ISNUMBER((Datos!M18-Datos!W18)/Datos!W18),(Datos!M18-Datos!W18)/Datos!W18," - ")</f>
        <v>-0.10091743119266056</v>
      </c>
      <c r="I18" s="356">
        <f>IF(ISNUMBER((Tasas!C18-Datos!BE18)/Datos!BE18),(Tasas!C18-Datos!BE18)/Datos!BE18," - ")</f>
        <v>0.68545704834799936</v>
      </c>
      <c r="J18" s="354">
        <f>IF(ISNUMBER((Tasas!D18-Datos!BF18)/Datos!BF18),(Tasas!D18-Datos!BF18)/Datos!BF18," - ")</f>
        <v>0.13856422716545866</v>
      </c>
      <c r="K18" s="357">
        <f>IF(ISNUMBER((Tasas!E18-Datos!BG18)/Datos!BG18),(Tasas!E18-Datos!BG18)/Datos!BG18," - ")</f>
        <v>0.44719857915710404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0.26523099576661147</v>
      </c>
      <c r="E19" s="362">
        <f>IF(ISNUMBER(
   IF(J_V="SI",(Datos!J19-Datos!T19)/Datos!T19,(Datos!J19+Datos!Z19-(Datos!T19+Datos!AH19))/(Datos!T19+Datos!AH19))
     ),IF(J_V="SI",(Datos!J19-Datos!T19)/Datos!T19,(Datos!J19+Datos!Z19-(Datos!T19+Datos!AH19))/(Datos!T19+Datos!AH19))," - ")</f>
        <v>-4.5303131245836112E-2</v>
      </c>
      <c r="F19" s="362">
        <f>IF(ISNUMBER(
   IF(J_V="SI",(Datos!K19-Datos!U19)/Datos!U19,(Datos!K19+Datos!AA19-(Datos!U19+Datos!AI19))/(Datos!U19+Datos!AI19))
     ),IF(J_V="SI",(Datos!K19-Datos!U19)/Datos!U19,(Datos!K19+Datos!AA19-(Datos!U19+Datos!AI19))/(Datos!U19+Datos!AI19))," - ")</f>
        <v>-5.68685376661743E-2</v>
      </c>
      <c r="G19" s="363">
        <f>IF(ISNUMBER(
   IF(J_V="SI",(Datos!L19-Datos!V19)/Datos!V19,(Datos!L19+Datos!AB19-(Datos!V19+Datos!AJ19))/(Datos!V19+Datos!AJ19))
     ),IF(J_V="SI",(Datos!L19-Datos!V19)/Datos!V19,(Datos!L19+Datos!AB19-(Datos!V19+Datos!AJ19))/(Datos!V19+Datos!AJ19))," - ")</f>
        <v>0.26336492043625959</v>
      </c>
      <c r="H19" s="364">
        <f>IF(ISNUMBER((Datos!M19-Datos!W19)/Datos!W19),(Datos!M19-Datos!W19)/Datos!W19," - ")</f>
        <v>0.3380281690140845</v>
      </c>
      <c r="I19" s="361">
        <f>IF(ISNUMBER((Tasas!C19-Datos!BE19)/Datos!BE19),(Tasas!C19-Datos!BE19)/Datos!BE19," - ")</f>
        <v>0.33954275823860242</v>
      </c>
      <c r="J19" s="362">
        <f>IF(ISNUMBER((Tasas!D19-Datos!BF19)/Datos!BF19),(Tasas!D19-Datos!BF19)/Datos!BF19," - ")</f>
        <v>0.26968406783230137</v>
      </c>
      <c r="K19" s="363">
        <f>IF(ISNUMBER((Tasas!E19-Datos!BG19)/Datos!BG19),(Tasas!E19-Datos!BG19)/Datos!BG19," - ")</f>
        <v>0.27024688985013412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0.68010411314063035</v>
      </c>
      <c r="E21" s="277">
        <f t="shared" si="1"/>
        <v>0.26423297257715445</v>
      </c>
      <c r="F21" s="277">
        <f t="shared" si="1"/>
        <v>6.2309471948167761E-3</v>
      </c>
      <c r="G21" s="278">
        <f t="shared" si="1"/>
        <v>0.44236566270457134</v>
      </c>
      <c r="H21" s="284">
        <f t="shared" si="1"/>
        <v>0.57291078972726839</v>
      </c>
      <c r="I21" s="276">
        <f t="shared" si="1"/>
        <v>0.47622840880700656</v>
      </c>
      <c r="J21" s="277">
        <f t="shared" si="1"/>
        <v>0.58466519539312689</v>
      </c>
      <c r="K21" s="278">
        <f t="shared" si="1"/>
        <v>0.28245832468837812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t7Zz3nCwNcMUL/MLbRfJ1FzL3jTTO8qGZZCjK59Lx40QKmW3u7D5RpTS0nrO7cicfea2+50BcQMt6gk1qi8cA==" saltValue="o8zJmHHJT5E1uwk2HhUd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